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21771628-7DE1-4074-A4ED-82275578833D}" xr6:coauthVersionLast="47" xr6:coauthVersionMax="47" xr10:uidLastSave="{00000000-0000-0000-0000-000000000000}"/>
  <bookViews>
    <workbookView xWindow="-104" yWindow="-104" windowWidth="22326" windowHeight="11947" xr2:uid="{9F5FEE7A-F564-413F-899E-D93B0771F087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" l="1"/>
  <c r="H8" i="9"/>
  <c r="G5" i="9"/>
  <c r="C79" i="8"/>
  <c r="C78" i="8"/>
  <c r="C77" i="8"/>
  <c r="C76" i="8"/>
  <c r="G75" i="8"/>
  <c r="C75" i="8"/>
  <c r="C74" i="8"/>
  <c r="C73" i="8"/>
  <c r="C80" i="8" s="1"/>
  <c r="C72" i="8"/>
  <c r="C71" i="8"/>
  <c r="C70" i="8"/>
  <c r="C69" i="8"/>
  <c r="C67" i="8"/>
  <c r="C66" i="8"/>
  <c r="C65" i="8"/>
  <c r="C64" i="8"/>
  <c r="C63" i="8"/>
  <c r="C62" i="8"/>
  <c r="F61" i="8"/>
  <c r="C61" i="8"/>
  <c r="D56" i="8"/>
  <c r="F54" i="8"/>
  <c r="F51" i="8"/>
  <c r="F48" i="8"/>
  <c r="C48" i="8"/>
  <c r="C47" i="8"/>
  <c r="F46" i="8"/>
  <c r="F45" i="8"/>
  <c r="F42" i="8"/>
  <c r="F41" i="8"/>
  <c r="F40" i="8"/>
  <c r="A39" i="8"/>
  <c r="H34" i="8"/>
  <c r="F55" i="8" s="1"/>
  <c r="E34" i="8"/>
  <c r="A34" i="8"/>
  <c r="H29" i="8"/>
  <c r="E29" i="8"/>
  <c r="A29" i="8"/>
  <c r="H24" i="8"/>
  <c r="F52" i="8" s="1"/>
  <c r="H23" i="8"/>
  <c r="H22" i="8"/>
  <c r="F50" i="8" s="1"/>
  <c r="H21" i="8"/>
  <c r="F49" i="8" s="1"/>
  <c r="H20" i="8"/>
  <c r="H19" i="8"/>
  <c r="F47" i="8" s="1"/>
  <c r="E17" i="8"/>
  <c r="H15" i="8"/>
  <c r="H14" i="8"/>
  <c r="C14" i="8"/>
  <c r="I13" i="8"/>
  <c r="G53" i="8" s="1"/>
  <c r="H12" i="8"/>
  <c r="F44" i="8" s="1"/>
  <c r="H11" i="8"/>
  <c r="F43" i="8" s="1"/>
  <c r="H10" i="8"/>
  <c r="H9" i="8"/>
  <c r="H8" i="8"/>
  <c r="H7" i="8"/>
  <c r="F39" i="8" s="1"/>
  <c r="E5" i="8"/>
  <c r="H132" i="7"/>
  <c r="C128" i="7"/>
  <c r="E122" i="7"/>
  <c r="F122" i="7" s="1"/>
  <c r="G119" i="7"/>
  <c r="G118" i="7"/>
  <c r="H117" i="7"/>
  <c r="H113" i="7"/>
  <c r="H106" i="7"/>
  <c r="H100" i="7"/>
  <c r="H97" i="7"/>
  <c r="H102" i="7" s="1"/>
  <c r="H95" i="7"/>
  <c r="H92" i="7"/>
  <c r="G89" i="7"/>
  <c r="G88" i="7"/>
  <c r="G86" i="7"/>
  <c r="H85" i="7"/>
  <c r="G79" i="7"/>
  <c r="H74" i="7"/>
  <c r="H66" i="7"/>
  <c r="H62" i="7"/>
  <c r="H53" i="7"/>
  <c r="F45" i="7"/>
  <c r="C45" i="7"/>
  <c r="G45" i="7" s="1"/>
  <c r="H42" i="7"/>
  <c r="G38" i="7"/>
  <c r="G37" i="7"/>
  <c r="H36" i="7"/>
  <c r="H26" i="7"/>
  <c r="H27" i="7" s="1"/>
  <c r="H25" i="7"/>
  <c r="H20" i="7"/>
  <c r="F12" i="7"/>
  <c r="H9" i="7"/>
  <c r="H7" i="7"/>
  <c r="H6" i="7"/>
  <c r="B4" i="7"/>
  <c r="B3" i="7"/>
  <c r="H132" i="6"/>
  <c r="E128" i="6"/>
  <c r="C128" i="6"/>
  <c r="E122" i="6"/>
  <c r="G119" i="6"/>
  <c r="G118" i="6"/>
  <c r="H117" i="6"/>
  <c r="H113" i="6"/>
  <c r="H106" i="6"/>
  <c r="H100" i="6"/>
  <c r="H97" i="6"/>
  <c r="H102" i="6" s="1"/>
  <c r="H95" i="6"/>
  <c r="H92" i="6"/>
  <c r="G88" i="6"/>
  <c r="G86" i="6"/>
  <c r="H85" i="6"/>
  <c r="G79" i="6"/>
  <c r="H79" i="6" s="1"/>
  <c r="G78" i="6"/>
  <c r="G75" i="6"/>
  <c r="H74" i="6"/>
  <c r="H66" i="6"/>
  <c r="H62" i="6"/>
  <c r="H57" i="6"/>
  <c r="H53" i="6"/>
  <c r="F45" i="6"/>
  <c r="C45" i="6"/>
  <c r="G45" i="6" s="1"/>
  <c r="H42" i="6"/>
  <c r="H38" i="6"/>
  <c r="G38" i="6"/>
  <c r="G37" i="6"/>
  <c r="G39" i="6" s="1"/>
  <c r="G67" i="6" s="1"/>
  <c r="H36" i="6"/>
  <c r="H32" i="6"/>
  <c r="H26" i="6"/>
  <c r="H25" i="6"/>
  <c r="H20" i="6"/>
  <c r="F12" i="6"/>
  <c r="H9" i="6"/>
  <c r="H7" i="6"/>
  <c r="H6" i="6"/>
  <c r="B4" i="6"/>
  <c r="B3" i="6"/>
  <c r="H134" i="5"/>
  <c r="C129" i="5"/>
  <c r="G120" i="5"/>
  <c r="G119" i="5"/>
  <c r="H118" i="5"/>
  <c r="H114" i="5"/>
  <c r="H107" i="5"/>
  <c r="H101" i="5"/>
  <c r="H98" i="5"/>
  <c r="H103" i="5" s="1"/>
  <c r="H96" i="5"/>
  <c r="G90" i="5"/>
  <c r="G89" i="5"/>
  <c r="G87" i="5"/>
  <c r="H86" i="5"/>
  <c r="H80" i="5"/>
  <c r="G80" i="5"/>
  <c r="G78" i="5"/>
  <c r="H75" i="5"/>
  <c r="H67" i="5"/>
  <c r="H63" i="5"/>
  <c r="H57" i="5"/>
  <c r="H53" i="5"/>
  <c r="F45" i="5"/>
  <c r="C45" i="5"/>
  <c r="H42" i="5"/>
  <c r="G38" i="5"/>
  <c r="G39" i="5" s="1"/>
  <c r="G68" i="5" s="1"/>
  <c r="G37" i="5"/>
  <c r="H36" i="5"/>
  <c r="H28" i="5"/>
  <c r="H32" i="5" s="1"/>
  <c r="H26" i="5"/>
  <c r="H25" i="5"/>
  <c r="H20" i="5"/>
  <c r="F12" i="5"/>
  <c r="H9" i="5"/>
  <c r="H7" i="5"/>
  <c r="B3" i="5"/>
  <c r="H134" i="4"/>
  <c r="E123" i="4"/>
  <c r="G120" i="4"/>
  <c r="G119" i="4"/>
  <c r="H118" i="4"/>
  <c r="H114" i="4"/>
  <c r="H107" i="4"/>
  <c r="H103" i="4"/>
  <c r="H101" i="4"/>
  <c r="H98" i="4"/>
  <c r="H96" i="4"/>
  <c r="H86" i="4"/>
  <c r="G80" i="4"/>
  <c r="H80" i="4" s="1"/>
  <c r="G78" i="4"/>
  <c r="H75" i="4"/>
  <c r="H67" i="4"/>
  <c r="H60" i="4"/>
  <c r="H53" i="4"/>
  <c r="F45" i="4"/>
  <c r="C45" i="4"/>
  <c r="G45" i="4" s="1"/>
  <c r="G51" i="4" s="1"/>
  <c r="G69" i="4" s="1"/>
  <c r="H42" i="4"/>
  <c r="H38" i="4"/>
  <c r="G38" i="4"/>
  <c r="G39" i="4" s="1"/>
  <c r="G68" i="4" s="1"/>
  <c r="G37" i="4"/>
  <c r="H36" i="4"/>
  <c r="H25" i="4"/>
  <c r="H20" i="4"/>
  <c r="F12" i="4"/>
  <c r="H9" i="4"/>
  <c r="H7" i="4"/>
  <c r="C129" i="4" s="1"/>
  <c r="B3" i="4"/>
  <c r="H134" i="3"/>
  <c r="E124" i="3"/>
  <c r="F123" i="3"/>
  <c r="G120" i="3"/>
  <c r="G119" i="3"/>
  <c r="H118" i="3"/>
  <c r="H114" i="3"/>
  <c r="H107" i="3"/>
  <c r="I103" i="3"/>
  <c r="H103" i="3"/>
  <c r="H101" i="3"/>
  <c r="I98" i="3"/>
  <c r="H98" i="3"/>
  <c r="H96" i="3"/>
  <c r="G90" i="3"/>
  <c r="G87" i="3"/>
  <c r="H86" i="3"/>
  <c r="H80" i="3"/>
  <c r="G80" i="3"/>
  <c r="G78" i="3"/>
  <c r="H75" i="3"/>
  <c r="H67" i="3"/>
  <c r="I60" i="3"/>
  <c r="H58" i="3"/>
  <c r="H57" i="3"/>
  <c r="I55" i="3"/>
  <c r="H53" i="3"/>
  <c r="F45" i="3"/>
  <c r="C45" i="3"/>
  <c r="G45" i="3" s="1"/>
  <c r="G51" i="3" s="1"/>
  <c r="H42" i="3"/>
  <c r="G38" i="3"/>
  <c r="H38" i="3" s="1"/>
  <c r="H37" i="3"/>
  <c r="H39" i="3" s="1"/>
  <c r="H68" i="3" s="1"/>
  <c r="G37" i="3"/>
  <c r="H36" i="3"/>
  <c r="H32" i="3"/>
  <c r="I26" i="3"/>
  <c r="I32" i="3" s="1"/>
  <c r="H26" i="3"/>
  <c r="H25" i="3"/>
  <c r="H20" i="3"/>
  <c r="F12" i="3"/>
  <c r="H9" i="3"/>
  <c r="H7" i="3"/>
  <c r="C129" i="3" s="1"/>
  <c r="B3" i="3"/>
  <c r="H32" i="2"/>
  <c r="G31" i="2"/>
  <c r="H31" i="2" s="1"/>
  <c r="G30" i="2"/>
  <c r="H30" i="2" s="1"/>
  <c r="H29" i="2"/>
  <c r="F76" i="8" s="1"/>
  <c r="G29" i="2"/>
  <c r="G28" i="2"/>
  <c r="H28" i="2" s="1"/>
  <c r="F78" i="8" s="1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H190" i="1"/>
  <c r="H186" i="1"/>
  <c r="C186" i="1"/>
  <c r="C182" i="1"/>
  <c r="H182" i="1" s="1"/>
  <c r="C178" i="1"/>
  <c r="H178" i="1" s="1"/>
  <c r="H172" i="1"/>
  <c r="H171" i="1"/>
  <c r="H170" i="1"/>
  <c r="H169" i="1"/>
  <c r="H168" i="1"/>
  <c r="H167" i="1"/>
  <c r="H166" i="1"/>
  <c r="H165" i="1"/>
  <c r="H164" i="1"/>
  <c r="H163" i="1"/>
  <c r="H162" i="1"/>
  <c r="H161" i="1"/>
  <c r="E84" i="1"/>
  <c r="D83" i="1"/>
  <c r="A83" i="1"/>
  <c r="D81" i="1"/>
  <c r="E123" i="7" s="1"/>
  <c r="E80" i="1"/>
  <c r="D80" i="1"/>
  <c r="E123" i="3" s="1"/>
  <c r="D78" i="1"/>
  <c r="G72" i="1"/>
  <c r="G71" i="1"/>
  <c r="G70" i="1"/>
  <c r="G89" i="6" s="1"/>
  <c r="G69" i="1"/>
  <c r="G89" i="4" s="1"/>
  <c r="G68" i="1"/>
  <c r="G67" i="1"/>
  <c r="G87" i="4" s="1"/>
  <c r="E62" i="1"/>
  <c r="G78" i="7" s="1"/>
  <c r="E61" i="1"/>
  <c r="E59" i="1"/>
  <c r="H54" i="1"/>
  <c r="H53" i="1"/>
  <c r="H52" i="1"/>
  <c r="H51" i="1"/>
  <c r="H50" i="1"/>
  <c r="H49" i="1"/>
  <c r="H48" i="1"/>
  <c r="H47" i="1"/>
  <c r="F43" i="1"/>
  <c r="D43" i="1"/>
  <c r="E43" i="1" s="1"/>
  <c r="A42" i="1"/>
  <c r="F40" i="1"/>
  <c r="D40" i="1"/>
  <c r="E40" i="1" s="1"/>
  <c r="I39" i="1"/>
  <c r="H54" i="4" s="1"/>
  <c r="A39" i="1"/>
  <c r="F37" i="1"/>
  <c r="D37" i="1"/>
  <c r="E37" i="1" s="1"/>
  <c r="I36" i="1" s="1"/>
  <c r="I54" i="3" s="1"/>
  <c r="A36" i="1"/>
  <c r="F34" i="1"/>
  <c r="E34" i="1"/>
  <c r="I33" i="1" s="1"/>
  <c r="A33" i="1"/>
  <c r="I30" i="1"/>
  <c r="I28" i="1"/>
  <c r="I26" i="1"/>
  <c r="D24" i="1"/>
  <c r="E24" i="1" s="1"/>
  <c r="I24" i="1" s="1"/>
  <c r="G22" i="1"/>
  <c r="I22" i="1" s="1"/>
  <c r="E22" i="1"/>
  <c r="I20" i="1"/>
  <c r="I18" i="1"/>
  <c r="I16" i="1"/>
  <c r="H55" i="3" s="1"/>
  <c r="F7" i="1"/>
  <c r="H26" i="4" s="1"/>
  <c r="H32" i="4" s="1"/>
  <c r="H135" i="4" s="1"/>
  <c r="H54" i="3" l="1"/>
  <c r="H54" i="5"/>
  <c r="I59" i="3"/>
  <c r="I64" i="3" s="1"/>
  <c r="I70" i="3" s="1"/>
  <c r="H59" i="3"/>
  <c r="H59" i="6"/>
  <c r="H59" i="5"/>
  <c r="H59" i="4"/>
  <c r="H59" i="7"/>
  <c r="G90" i="7"/>
  <c r="G93" i="7" s="1"/>
  <c r="G91" i="4"/>
  <c r="G91" i="3"/>
  <c r="G90" i="6"/>
  <c r="I80" i="3"/>
  <c r="H58" i="7"/>
  <c r="H58" i="4"/>
  <c r="I58" i="3"/>
  <c r="H58" i="5"/>
  <c r="I38" i="3"/>
  <c r="F123" i="4"/>
  <c r="H41" i="3"/>
  <c r="H61" i="7"/>
  <c r="H61" i="6"/>
  <c r="F19" i="2"/>
  <c r="H135" i="5"/>
  <c r="G51" i="6"/>
  <c r="H32" i="7"/>
  <c r="G76" i="3"/>
  <c r="G75" i="7"/>
  <c r="G76" i="4"/>
  <c r="E60" i="1"/>
  <c r="H62" i="5"/>
  <c r="D31" i="9"/>
  <c r="C31" i="9"/>
  <c r="B31" i="9"/>
  <c r="H37" i="4"/>
  <c r="H39" i="4" s="1"/>
  <c r="H68" i="4" s="1"/>
  <c r="I42" i="1"/>
  <c r="G79" i="4"/>
  <c r="G79" i="5"/>
  <c r="E83" i="1"/>
  <c r="E129" i="5"/>
  <c r="E129" i="4"/>
  <c r="F129" i="4" s="1"/>
  <c r="E129" i="3"/>
  <c r="F129" i="3" s="1"/>
  <c r="E128" i="7"/>
  <c r="F128" i="7" s="1"/>
  <c r="H37" i="5"/>
  <c r="H39" i="5" s="1"/>
  <c r="H68" i="5" s="1"/>
  <c r="F80" i="8"/>
  <c r="G69" i="3"/>
  <c r="G79" i="3"/>
  <c r="H55" i="4"/>
  <c r="H64" i="4" s="1"/>
  <c r="H70" i="4" s="1"/>
  <c r="H55" i="5"/>
  <c r="H55" i="6"/>
  <c r="H55" i="7"/>
  <c r="I135" i="3"/>
  <c r="G91" i="5"/>
  <c r="H56" i="4"/>
  <c r="H56" i="5"/>
  <c r="H56" i="6"/>
  <c r="I56" i="3"/>
  <c r="H56" i="3"/>
  <c r="H56" i="7"/>
  <c r="H55" i="1"/>
  <c r="H173" i="1"/>
  <c r="G86" i="8" s="1"/>
  <c r="H192" i="1"/>
  <c r="G89" i="8" s="1"/>
  <c r="H62" i="3"/>
  <c r="H135" i="3"/>
  <c r="H133" i="6"/>
  <c r="H37" i="6"/>
  <c r="H39" i="6" s="1"/>
  <c r="H67" i="6" s="1"/>
  <c r="H41" i="6"/>
  <c r="H45" i="6" s="1"/>
  <c r="H58" i="6"/>
  <c r="G39" i="3"/>
  <c r="G68" i="3" s="1"/>
  <c r="I37" i="3"/>
  <c r="I39" i="3" s="1"/>
  <c r="I68" i="3" s="1"/>
  <c r="I62" i="3"/>
  <c r="H62" i="4"/>
  <c r="G76" i="5"/>
  <c r="G51" i="7"/>
  <c r="H61" i="5"/>
  <c r="H63" i="4"/>
  <c r="I63" i="3"/>
  <c r="G92" i="5"/>
  <c r="G92" i="3"/>
  <c r="G91" i="6"/>
  <c r="G91" i="7"/>
  <c r="H61" i="3"/>
  <c r="I61" i="3"/>
  <c r="H61" i="4"/>
  <c r="G92" i="4"/>
  <c r="G45" i="5"/>
  <c r="E123" i="6"/>
  <c r="F122" i="6" s="1"/>
  <c r="F128" i="6" s="1"/>
  <c r="H11" i="9"/>
  <c r="H10" i="9"/>
  <c r="H7" i="9"/>
  <c r="H57" i="7"/>
  <c r="I57" i="3"/>
  <c r="H63" i="3"/>
  <c r="H5" i="9"/>
  <c r="G77" i="6"/>
  <c r="G77" i="7"/>
  <c r="G89" i="3"/>
  <c r="H79" i="7"/>
  <c r="H6" i="9"/>
  <c r="G88" i="3"/>
  <c r="G87" i="6"/>
  <c r="G88" i="4"/>
  <c r="H9" i="9"/>
  <c r="H57" i="4"/>
  <c r="E124" i="4"/>
  <c r="H38" i="5"/>
  <c r="G88" i="5"/>
  <c r="G39" i="7"/>
  <c r="G67" i="7" s="1"/>
  <c r="H60" i="3"/>
  <c r="H60" i="5"/>
  <c r="H60" i="6"/>
  <c r="H60" i="7"/>
  <c r="G90" i="4"/>
  <c r="E124" i="5"/>
  <c r="G87" i="7"/>
  <c r="E123" i="5"/>
  <c r="H47" i="3" l="1"/>
  <c r="H50" i="3"/>
  <c r="H43" i="3"/>
  <c r="H74" i="3"/>
  <c r="H78" i="3" s="1"/>
  <c r="H48" i="3"/>
  <c r="H46" i="3"/>
  <c r="H45" i="3"/>
  <c r="H44" i="3"/>
  <c r="H49" i="3"/>
  <c r="B34" i="9"/>
  <c r="D34" i="9"/>
  <c r="C34" i="9"/>
  <c r="H77" i="6"/>
  <c r="G51" i="5"/>
  <c r="H45" i="5"/>
  <c r="D28" i="9"/>
  <c r="C28" i="9"/>
  <c r="B28" i="9"/>
  <c r="H51" i="6"/>
  <c r="G68" i="6"/>
  <c r="H44" i="6"/>
  <c r="H43" i="6"/>
  <c r="H48" i="6"/>
  <c r="H50" i="6"/>
  <c r="H49" i="6"/>
  <c r="H73" i="6"/>
  <c r="H46" i="6"/>
  <c r="H47" i="6"/>
  <c r="G94" i="5"/>
  <c r="H108" i="5"/>
  <c r="H107" i="6"/>
  <c r="I108" i="3"/>
  <c r="H107" i="7"/>
  <c r="H108" i="3"/>
  <c r="H108" i="4"/>
  <c r="I41" i="3"/>
  <c r="H76" i="3"/>
  <c r="H41" i="4"/>
  <c r="H133" i="7"/>
  <c r="H38" i="7"/>
  <c r="G68" i="7"/>
  <c r="H64" i="5"/>
  <c r="H70" i="5" s="1"/>
  <c r="H79" i="3"/>
  <c r="D32" i="9"/>
  <c r="C32" i="9"/>
  <c r="B32" i="9"/>
  <c r="H90" i="7"/>
  <c r="H37" i="7"/>
  <c r="H41" i="5"/>
  <c r="H64" i="3"/>
  <c r="H70" i="3" s="1"/>
  <c r="G77" i="5"/>
  <c r="G77" i="3"/>
  <c r="G76" i="6"/>
  <c r="H76" i="6" s="1"/>
  <c r="G76" i="7"/>
  <c r="G77" i="4"/>
  <c r="G94" i="3"/>
  <c r="F123" i="5"/>
  <c r="F129" i="5" s="1"/>
  <c r="B29" i="9"/>
  <c r="D29" i="9"/>
  <c r="C29" i="9"/>
  <c r="B30" i="9"/>
  <c r="C30" i="9"/>
  <c r="D30" i="9"/>
  <c r="H51" i="3"/>
  <c r="B33" i="9"/>
  <c r="D33" i="9"/>
  <c r="C33" i="9"/>
  <c r="G93" i="6"/>
  <c r="H54" i="6"/>
  <c r="H63" i="6" s="1"/>
  <c r="H69" i="6" s="1"/>
  <c r="H54" i="7"/>
  <c r="H63" i="7" s="1"/>
  <c r="H69" i="7" s="1"/>
  <c r="G94" i="4"/>
  <c r="H49" i="5" l="1"/>
  <c r="H74" i="5"/>
  <c r="H48" i="5"/>
  <c r="H43" i="5"/>
  <c r="H47" i="5"/>
  <c r="H46" i="5"/>
  <c r="H44" i="5"/>
  <c r="H50" i="5"/>
  <c r="G69" i="5"/>
  <c r="H51" i="5"/>
  <c r="H39" i="7"/>
  <c r="H44" i="4"/>
  <c r="H74" i="4"/>
  <c r="H43" i="4"/>
  <c r="H50" i="4"/>
  <c r="H49" i="4"/>
  <c r="H46" i="4"/>
  <c r="H45" i="4"/>
  <c r="H51" i="4"/>
  <c r="H48" i="4"/>
  <c r="H47" i="4"/>
  <c r="H77" i="3"/>
  <c r="I77" i="3"/>
  <c r="H81" i="3"/>
  <c r="H137" i="3" s="1"/>
  <c r="H68" i="6"/>
  <c r="H70" i="6" s="1"/>
  <c r="H86" i="6"/>
  <c r="H77" i="5"/>
  <c r="I50" i="3"/>
  <c r="I44" i="3"/>
  <c r="I74" i="3"/>
  <c r="I48" i="3"/>
  <c r="I45" i="3"/>
  <c r="I46" i="3"/>
  <c r="I43" i="3"/>
  <c r="I51" i="3"/>
  <c r="I69" i="3" s="1"/>
  <c r="I71" i="3" s="1"/>
  <c r="I49" i="3"/>
  <c r="I47" i="3"/>
  <c r="I87" i="3"/>
  <c r="H69" i="3"/>
  <c r="H71" i="3" s="1"/>
  <c r="H87" i="3"/>
  <c r="H78" i="6"/>
  <c r="H75" i="6"/>
  <c r="B35" i="9"/>
  <c r="C35" i="9"/>
  <c r="D35" i="9"/>
  <c r="H69" i="4" l="1"/>
  <c r="H71" i="4" s="1"/>
  <c r="H87" i="4"/>
  <c r="H136" i="3"/>
  <c r="H85" i="3"/>
  <c r="H134" i="6"/>
  <c r="H84" i="6"/>
  <c r="I136" i="3"/>
  <c r="H78" i="4"/>
  <c r="H79" i="4"/>
  <c r="H76" i="4"/>
  <c r="H78" i="5"/>
  <c r="H76" i="5"/>
  <c r="H79" i="5"/>
  <c r="H67" i="7"/>
  <c r="H41" i="7"/>
  <c r="H77" i="4"/>
  <c r="H69" i="5"/>
  <c r="H71" i="5" s="1"/>
  <c r="H87" i="5"/>
  <c r="H80" i="6"/>
  <c r="H135" i="6" s="1"/>
  <c r="I78" i="3"/>
  <c r="I76" i="3"/>
  <c r="I79" i="3"/>
  <c r="H136" i="5" l="1"/>
  <c r="H46" i="7"/>
  <c r="H44" i="7"/>
  <c r="H49" i="7"/>
  <c r="H48" i="7"/>
  <c r="H73" i="7"/>
  <c r="H43" i="7"/>
  <c r="H50" i="7"/>
  <c r="H47" i="7"/>
  <c r="H45" i="7"/>
  <c r="H51" i="7"/>
  <c r="H89" i="6"/>
  <c r="H88" i="6"/>
  <c r="H90" i="6"/>
  <c r="H91" i="6"/>
  <c r="H87" i="6"/>
  <c r="H93" i="6" s="1"/>
  <c r="H101" i="6" s="1"/>
  <c r="H103" i="6" s="1"/>
  <c r="H81" i="5"/>
  <c r="H137" i="5" s="1"/>
  <c r="H81" i="4"/>
  <c r="H137" i="4" s="1"/>
  <c r="H93" i="3"/>
  <c r="H90" i="3"/>
  <c r="H88" i="3"/>
  <c r="H92" i="3"/>
  <c r="H91" i="3"/>
  <c r="H89" i="3"/>
  <c r="I81" i="3"/>
  <c r="H136" i="4"/>
  <c r="H85" i="4"/>
  <c r="H93" i="4" l="1"/>
  <c r="H89" i="4"/>
  <c r="H91" i="4"/>
  <c r="H92" i="4"/>
  <c r="H88" i="4"/>
  <c r="H90" i="4"/>
  <c r="H78" i="7"/>
  <c r="H77" i="7"/>
  <c r="H75" i="7"/>
  <c r="H76" i="7"/>
  <c r="H136" i="6"/>
  <c r="H114" i="6"/>
  <c r="I137" i="3"/>
  <c r="I85" i="3"/>
  <c r="H94" i="3"/>
  <c r="H102" i="3" s="1"/>
  <c r="H104" i="3" s="1"/>
  <c r="H68" i="7"/>
  <c r="H70" i="7" s="1"/>
  <c r="H86" i="7"/>
  <c r="H85" i="5"/>
  <c r="H80" i="7" l="1"/>
  <c r="H135" i="7" s="1"/>
  <c r="H93" i="5"/>
  <c r="H90" i="5"/>
  <c r="H89" i="5"/>
  <c r="H91" i="5"/>
  <c r="H92" i="5"/>
  <c r="H88" i="5"/>
  <c r="H134" i="7"/>
  <c r="H84" i="7"/>
  <c r="H138" i="3"/>
  <c r="H115" i="3"/>
  <c r="H94" i="4"/>
  <c r="H102" i="4" s="1"/>
  <c r="H104" i="4" s="1"/>
  <c r="I93" i="3"/>
  <c r="I90" i="3"/>
  <c r="I88" i="3"/>
  <c r="I92" i="3"/>
  <c r="I89" i="3"/>
  <c r="I91" i="3"/>
  <c r="H119" i="6"/>
  <c r="H129" i="6" s="1"/>
  <c r="H108" i="6"/>
  <c r="H111" i="6" s="1"/>
  <c r="H137" i="6" s="1"/>
  <c r="H138" i="6" s="1"/>
  <c r="H118" i="6"/>
  <c r="H140" i="6" s="1"/>
  <c r="E76" i="8" l="1"/>
  <c r="G76" i="8" s="1"/>
  <c r="F29" i="8"/>
  <c r="G29" i="8" s="1"/>
  <c r="H139" i="6"/>
  <c r="H120" i="6"/>
  <c r="H88" i="7"/>
  <c r="H89" i="7"/>
  <c r="H91" i="7"/>
  <c r="H87" i="7"/>
  <c r="H93" i="7" s="1"/>
  <c r="H101" i="7" s="1"/>
  <c r="H103" i="7" s="1"/>
  <c r="H94" i="5"/>
  <c r="H102" i="5" s="1"/>
  <c r="H104" i="5" s="1"/>
  <c r="I94" i="3"/>
  <c r="I102" i="3" s="1"/>
  <c r="I104" i="3" s="1"/>
  <c r="H138" i="4"/>
  <c r="H115" i="4"/>
  <c r="H109" i="3"/>
  <c r="H112" i="3" s="1"/>
  <c r="H139" i="3" s="1"/>
  <c r="H119" i="3"/>
  <c r="H140" i="3"/>
  <c r="I138" i="3" l="1"/>
  <c r="I115" i="3"/>
  <c r="H138" i="5"/>
  <c r="H115" i="5"/>
  <c r="H136" i="7"/>
  <c r="H114" i="7"/>
  <c r="H132" i="3"/>
  <c r="H120" i="3"/>
  <c r="H142" i="3" s="1"/>
  <c r="I29" i="8"/>
  <c r="J29" i="8" s="1"/>
  <c r="D54" i="8"/>
  <c r="G54" i="8" s="1"/>
  <c r="H109" i="4"/>
  <c r="H112" i="4" s="1"/>
  <c r="H139" i="4" s="1"/>
  <c r="H140" i="4" s="1"/>
  <c r="H119" i="4"/>
  <c r="H132" i="4" s="1"/>
  <c r="F24" i="8" l="1"/>
  <c r="G24" i="8" s="1"/>
  <c r="F21" i="8"/>
  <c r="G21" i="8" s="1"/>
  <c r="F12" i="8"/>
  <c r="G12" i="8" s="1"/>
  <c r="F9" i="8"/>
  <c r="G9" i="8" s="1"/>
  <c r="F14" i="8"/>
  <c r="G14" i="8" s="1"/>
  <c r="F20" i="8"/>
  <c r="G20" i="8" s="1"/>
  <c r="F19" i="8"/>
  <c r="G19" i="8" s="1"/>
  <c r="F23" i="8"/>
  <c r="G23" i="8" s="1"/>
  <c r="F7" i="8"/>
  <c r="G7" i="8" s="1"/>
  <c r="F11" i="8"/>
  <c r="G11" i="8" s="1"/>
  <c r="F22" i="8"/>
  <c r="G22" i="8" s="1"/>
  <c r="F10" i="8"/>
  <c r="G10" i="8" s="1"/>
  <c r="F8" i="8"/>
  <c r="G8" i="8" s="1"/>
  <c r="H130" i="3"/>
  <c r="H108" i="7"/>
  <c r="H111" i="7" s="1"/>
  <c r="H137" i="7" s="1"/>
  <c r="H119" i="7"/>
  <c r="H118" i="7"/>
  <c r="H129" i="7" s="1"/>
  <c r="H138" i="7"/>
  <c r="H120" i="4"/>
  <c r="H142" i="4" s="1"/>
  <c r="E61" i="8" s="1"/>
  <c r="G61" i="8" s="1"/>
  <c r="H142" i="5"/>
  <c r="F15" i="8" s="1"/>
  <c r="G15" i="8" s="1"/>
  <c r="H130" i="5"/>
  <c r="H109" i="5"/>
  <c r="H112" i="5" s="1"/>
  <c r="H139" i="5" s="1"/>
  <c r="H140" i="5" s="1"/>
  <c r="H119" i="5"/>
  <c r="H132" i="5" s="1"/>
  <c r="H120" i="5"/>
  <c r="I109" i="3"/>
  <c r="I112" i="3" s="1"/>
  <c r="I139" i="3" s="1"/>
  <c r="I140" i="3" s="1"/>
  <c r="I119" i="3"/>
  <c r="I120" i="3" s="1"/>
  <c r="H130" i="4"/>
  <c r="H120" i="7" l="1"/>
  <c r="H139" i="7"/>
  <c r="H141" i="4"/>
  <c r="H121" i="4"/>
  <c r="I15" i="8"/>
  <c r="D46" i="8"/>
  <c r="G46" i="8" s="1"/>
  <c r="D42" i="8"/>
  <c r="G42" i="8" s="1"/>
  <c r="I10" i="8"/>
  <c r="I22" i="8"/>
  <c r="D50" i="8"/>
  <c r="G50" i="8" s="1"/>
  <c r="D39" i="8"/>
  <c r="G39" i="8" s="1"/>
  <c r="I7" i="8"/>
  <c r="D43" i="8"/>
  <c r="G43" i="8" s="1"/>
  <c r="I11" i="8"/>
  <c r="I130" i="3"/>
  <c r="D47" i="8"/>
  <c r="G47" i="8" s="1"/>
  <c r="I19" i="8"/>
  <c r="H121" i="5"/>
  <c r="H141" i="5"/>
  <c r="I142" i="3"/>
  <c r="H144" i="3" s="1"/>
  <c r="D51" i="8"/>
  <c r="G51" i="8" s="1"/>
  <c r="I23" i="8"/>
  <c r="I20" i="8"/>
  <c r="D48" i="8"/>
  <c r="G48" i="8" s="1"/>
  <c r="H140" i="7"/>
  <c r="I14" i="8"/>
  <c r="D45" i="8"/>
  <c r="G45" i="8" s="1"/>
  <c r="D41" i="8"/>
  <c r="G41" i="8" s="1"/>
  <c r="I9" i="8"/>
  <c r="D44" i="8"/>
  <c r="G44" i="8" s="1"/>
  <c r="I12" i="8"/>
  <c r="H141" i="3"/>
  <c r="H121" i="3"/>
  <c r="D49" i="8"/>
  <c r="G49" i="8" s="1"/>
  <c r="I21" i="8"/>
  <c r="D40" i="8"/>
  <c r="G40" i="8" s="1"/>
  <c r="I8" i="8"/>
  <c r="I24" i="8"/>
  <c r="D52" i="8"/>
  <c r="G52" i="8" s="1"/>
  <c r="J24" i="8" l="1"/>
  <c r="I121" i="3"/>
  <c r="I141" i="3"/>
  <c r="F34" i="8"/>
  <c r="G34" i="8" s="1"/>
  <c r="E78" i="8"/>
  <c r="G78" i="8" s="1"/>
  <c r="G80" i="8" s="1"/>
  <c r="J15" i="8"/>
  <c r="D55" i="8" l="1"/>
  <c r="G55" i="8" s="1"/>
  <c r="G56" i="8" s="1"/>
  <c r="G83" i="8" s="1"/>
  <c r="G92" i="8" s="1"/>
  <c r="G95" i="8" s="1"/>
  <c r="I34" i="8"/>
  <c r="J34" i="8" s="1"/>
  <c r="K36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5215696E-DFDC-4CC3-9266-3877C8E043A8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B34F2532-0787-4203-A794-FDCF394FEA4A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6352A01C-17CC-4B37-9207-591A28462D45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1CBA28C8-60EC-4C3B-8E0C-E23A0F001620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FC1B0328-F7FF-496A-AA4F-DB7072F6A14A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7F559ED4-438D-4A4F-B505-7F8710DD1EE5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2E9EB849-CB2F-4BA4-A877-6C8B1785617E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<sst xmlns="http://schemas.openxmlformats.org/spreadsheetml/2006/main" count="1664" uniqueCount="485">
  <si>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</si>
  <si>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</si>
  <si>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</si>
  <si>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Campos do Jordão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</si>
  <si>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</si>
  <si>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</si>
  <si>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</si>
  <si>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</si>
  <si>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</si>
  <si>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ARF/Campos do Jordão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</si>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</sst>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757C4CD0-6F1C-4151-B590-152B55B79487}"/>
    <cellStyle name="Excel Built-in Percent" xfId="4" xr:uid="{A431AF4E-20D0-40A5-9765-F82A3480FBC3}"/>
    <cellStyle name="Excel Built-in Percent 2" xfId="6" xr:uid="{EA8A0FAB-AFED-4BC6-9AED-AF41CC20659E}"/>
    <cellStyle name="Excel_BuiltIn_Currency" xfId="5" xr:uid="{C6046159-BFBD-4CD7-ACE6-9DDF0FCA2756}"/>
    <cellStyle name="Moeda" xfId="2" builtinId="4"/>
    <cellStyle name="Moeda_Plan1_1_Limpeza2011- Planilhas" xfId="8" xr:uid="{9399EDF9-3030-4808-BCE5-FDD97DFAEBF1}"/>
    <cellStyle name="Normal" xfId="0" builtinId="0"/>
    <cellStyle name="Normal 2" xfId="10" xr:uid="{2AAAF169-1DF6-450C-8D25-7976E23A22C6}"/>
    <cellStyle name="Normal_Limpeza2011- Planilhas" xfId="7" xr:uid="{3722F1F4-90C6-455A-A64A-FD6BE9E616C2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E978E8-7096-4648-AB2F-5A168982C802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Campos do Jordão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75.121199999999973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4.0999999999999996</v>
      </c>
      <c r="E34" s="43">
        <f>B34*C34*D34</f>
        <v>178.15319999999997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Campos do Jordão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65.785199999999975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4.0999999999999996</v>
      </c>
      <c r="E37" s="43">
        <f>B37*C37*D37</f>
        <v>178.15319999999997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Campos do Jordão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116.33399999999997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4.0999999999999996</v>
      </c>
      <c r="E40" s="43">
        <f>B40*C40*D40</f>
        <v>178.15319999999997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Campos do Jordão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65.212799999999973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4.0999999999999996</v>
      </c>
      <c r="E43" s="43">
        <f>B43*C43*D43</f>
        <v>178.15319999999997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Campos do Jordão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0.05</v>
      </c>
      <c r="E83" s="116">
        <f>D83+$E$80</f>
        <v>0.14250000000000002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2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2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0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1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1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1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1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2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0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3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1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2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5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2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1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2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1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2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1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4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2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1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2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2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2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2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2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1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1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1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1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1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1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1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1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2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1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0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1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1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0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1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1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0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0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0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0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0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0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0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0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2</v>
      </c>
      <c r="G161" s="153">
        <v>1</v>
      </c>
      <c r="H161" s="130">
        <f t="shared" ref="H161:H172" si="1">E161*F161/G161</f>
        <v>23.86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1</v>
      </c>
      <c r="G162" s="153">
        <v>1</v>
      </c>
      <c r="H162" s="130">
        <f t="shared" si="1"/>
        <v>58.97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0</v>
      </c>
      <c r="G163" s="153">
        <v>1</v>
      </c>
      <c r="H163" s="130">
        <f t="shared" si="1"/>
        <v>0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10</v>
      </c>
      <c r="G164" s="153">
        <v>1</v>
      </c>
      <c r="H164" s="130">
        <f t="shared" si="1"/>
        <v>290.10000000000002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2</v>
      </c>
      <c r="G165" s="153">
        <v>1</v>
      </c>
      <c r="H165" s="130">
        <f t="shared" si="1"/>
        <v>12.88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2</v>
      </c>
      <c r="G166" s="153">
        <v>1</v>
      </c>
      <c r="H166" s="130">
        <f t="shared" si="1"/>
        <v>40.6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2</v>
      </c>
      <c r="G167" s="153">
        <v>1</v>
      </c>
      <c r="H167" s="130">
        <f t="shared" si="1"/>
        <v>90.28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4</v>
      </c>
      <c r="G168" s="153">
        <v>24</v>
      </c>
      <c r="H168" s="130">
        <f t="shared" si="1"/>
        <v>3.8666666666666667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0</v>
      </c>
      <c r="G169" s="153">
        <v>24</v>
      </c>
      <c r="H169" s="130">
        <f t="shared" si="1"/>
        <v>0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6</v>
      </c>
      <c r="G170" s="153">
        <v>24</v>
      </c>
      <c r="H170" s="130">
        <f t="shared" si="1"/>
        <v>6.9375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3</v>
      </c>
      <c r="G171" s="153">
        <v>24</v>
      </c>
      <c r="H171" s="130">
        <f t="shared" si="1"/>
        <v>3.375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3</v>
      </c>
      <c r="G172" s="153">
        <v>24</v>
      </c>
      <c r="H172" s="130">
        <f t="shared" si="1"/>
        <v>2.71875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533.58791666666673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>
        <v>264.5</v>
      </c>
      <c r="B178" s="161">
        <v>0.14000000000000001</v>
      </c>
      <c r="C178" s="162">
        <f>A178*B178</f>
        <v>37.03</v>
      </c>
      <c r="D178" s="163" t="s">
        <v>209</v>
      </c>
      <c r="E178" s="163"/>
      <c r="F178" s="163"/>
      <c r="G178" s="163"/>
      <c r="H178" s="164">
        <f>C178*2</f>
        <v>74.06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210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211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>
        <v>2</v>
      </c>
      <c r="B182" s="161">
        <v>47</v>
      </c>
      <c r="C182" s="162">
        <f>A182*B182</f>
        <v>94</v>
      </c>
      <c r="D182" s="163" t="s">
        <v>209</v>
      </c>
      <c r="E182" s="163"/>
      <c r="F182" s="163"/>
      <c r="G182" s="163"/>
      <c r="H182" s="164">
        <f>C182*2</f>
        <v>188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212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213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0</v>
      </c>
      <c r="B186" s="161">
        <v>0.38</v>
      </c>
      <c r="C186" s="162">
        <f>A186*B186</f>
        <v>0</v>
      </c>
      <c r="D186" s="163" t="s">
        <v>214</v>
      </c>
      <c r="E186" s="163"/>
      <c r="F186" s="163"/>
      <c r="G186" s="163"/>
      <c r="H186" s="164">
        <f>C186*6</f>
        <v>0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215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216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217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218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219</v>
      </c>
      <c r="B192" s="16"/>
      <c r="C192" s="16"/>
      <c r="D192" s="16"/>
      <c r="E192" s="16"/>
      <c r="F192" s="16"/>
      <c r="G192" s="16"/>
      <c r="H192" s="172">
        <f>H178+H182+H186+H190</f>
        <v>1798.76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2895FD49-90D8-42B4-B2FC-4ADBDBAEAF14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ABD3006C-C9B7-48D0-9864-B96C6ACAA849}">
      <formula1>0</formula1>
      <formula2>0</formula2>
    </dataValidation>
    <dataValidation errorStyle="warning" allowBlank="1" showInputMessage="1" showErrorMessage="1" errorTitle="OK" error="Atingiu o valor desejado." sqref="B12 E12 E68:F72" xr:uid="{9A847202-AC9F-45C4-AE69-FDCCDF73E302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9716E-52DA-4306-A55D-822DDF370878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220</v>
      </c>
      <c r="B2" s="159"/>
      <c r="C2" s="159"/>
      <c r="D2" s="159"/>
      <c r="E2" s="159"/>
      <c r="F2" s="157" t="s">
        <v>221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222</v>
      </c>
      <c r="B3" s="126" t="s">
        <v>223</v>
      </c>
      <c r="C3" s="178" t="s">
        <v>224</v>
      </c>
      <c r="D3" s="178"/>
      <c r="E3" s="178"/>
      <c r="F3" s="126" t="str">
        <f>Licitante!$B$2</f>
        <v>Campos do Jordão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225</v>
      </c>
      <c r="B4" s="179"/>
      <c r="C4" s="180">
        <v>1200</v>
      </c>
      <c r="D4" s="181"/>
      <c r="E4" s="182"/>
      <c r="F4" s="183">
        <f>B4/C4</f>
        <v>0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226</v>
      </c>
      <c r="B5" s="179">
        <v>123</v>
      </c>
      <c r="C5" s="188">
        <v>1200</v>
      </c>
      <c r="D5" s="188"/>
      <c r="E5" s="188"/>
      <c r="F5" s="183">
        <f t="shared" ref="F5:F11" si="0">B5/C5</f>
        <v>0.10249999999999999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227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228</v>
      </c>
      <c r="B7" s="179"/>
      <c r="C7" s="188">
        <v>2500</v>
      </c>
      <c r="D7" s="188"/>
      <c r="E7" s="188"/>
      <c r="F7" s="183">
        <f t="shared" si="0"/>
        <v>0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229</v>
      </c>
      <c r="B8" s="179"/>
      <c r="C8" s="188">
        <v>1800</v>
      </c>
      <c r="D8" s="188"/>
      <c r="E8" s="188"/>
      <c r="F8" s="183">
        <f t="shared" si="0"/>
        <v>0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230</v>
      </c>
      <c r="B9" s="179"/>
      <c r="C9" s="188">
        <v>1500</v>
      </c>
      <c r="D9" s="188"/>
      <c r="E9" s="188"/>
      <c r="F9" s="183">
        <f t="shared" si="0"/>
        <v>0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231</v>
      </c>
      <c r="B10" s="179">
        <v>7.5</v>
      </c>
      <c r="C10" s="188">
        <v>300</v>
      </c>
      <c r="D10" s="188"/>
      <c r="E10" s="188"/>
      <c r="F10" s="183">
        <f t="shared" si="0"/>
        <v>2.5000000000000001E-2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232</v>
      </c>
      <c r="B11" s="179"/>
      <c r="C11" s="188">
        <v>300</v>
      </c>
      <c r="D11" s="188"/>
      <c r="E11" s="188"/>
      <c r="F11" s="183">
        <f t="shared" si="0"/>
        <v>0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233</v>
      </c>
      <c r="B12" s="126" t="s">
        <v>223</v>
      </c>
      <c r="C12" s="178" t="s">
        <v>224</v>
      </c>
      <c r="D12" s="178"/>
      <c r="E12" s="178"/>
      <c r="F12" s="126" t="str">
        <f>Licitante!$B$2</f>
        <v>Campos do Jordão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234</v>
      </c>
      <c r="B13" s="179">
        <v>101</v>
      </c>
      <c r="C13" s="188">
        <v>2700</v>
      </c>
      <c r="D13" s="188"/>
      <c r="E13" s="180"/>
      <c r="F13" s="195">
        <f t="shared" ref="F13:F18" si="1">B13/C13</f>
        <v>3.740740740740741E-2</v>
      </c>
    </row>
    <row r="14" spans="1:19" ht="31.7" customHeight="1">
      <c r="A14" s="196" t="s">
        <v>235</v>
      </c>
      <c r="B14" s="197">
        <v>33</v>
      </c>
      <c r="C14" s="198">
        <v>9000</v>
      </c>
      <c r="D14" s="198"/>
      <c r="E14" s="199"/>
      <c r="F14" s="200">
        <f t="shared" si="1"/>
        <v>3.6666666666666666E-3</v>
      </c>
    </row>
    <row r="15" spans="1:19" ht="31.7" customHeight="1">
      <c r="A15" s="196" t="s">
        <v>236</v>
      </c>
      <c r="B15" s="197"/>
      <c r="C15" s="198">
        <v>2700</v>
      </c>
      <c r="D15" s="198"/>
      <c r="E15" s="199"/>
      <c r="F15" s="200">
        <f t="shared" si="1"/>
        <v>0</v>
      </c>
    </row>
    <row r="16" spans="1:19" ht="31.7" customHeight="1">
      <c r="A16" s="196" t="s">
        <v>237</v>
      </c>
      <c r="B16" s="197"/>
      <c r="C16" s="198">
        <v>2700</v>
      </c>
      <c r="D16" s="198"/>
      <c r="E16" s="199"/>
      <c r="F16" s="200">
        <f t="shared" si="1"/>
        <v>0</v>
      </c>
    </row>
    <row r="17" spans="1:19" ht="31.7" customHeight="1">
      <c r="A17" s="196" t="s">
        <v>238</v>
      </c>
      <c r="B17" s="197"/>
      <c r="C17" s="198">
        <v>2700</v>
      </c>
      <c r="D17" s="198"/>
      <c r="E17" s="199"/>
      <c r="F17" s="200">
        <f t="shared" si="1"/>
        <v>0</v>
      </c>
    </row>
    <row r="18" spans="1:19" ht="33.549999999999997" customHeight="1">
      <c r="A18" s="196" t="s">
        <v>239</v>
      </c>
      <c r="B18" s="197"/>
      <c r="C18" s="198">
        <v>100000</v>
      </c>
      <c r="D18" s="198"/>
      <c r="E18" s="199"/>
      <c r="F18" s="200">
        <f t="shared" si="1"/>
        <v>0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240</v>
      </c>
      <c r="B19" s="202"/>
      <c r="C19" s="202"/>
      <c r="D19" s="202"/>
      <c r="E19" s="202"/>
      <c r="F19" s="203">
        <f>SUM(F4:F11)+SUM(F13:F18)</f>
        <v>0.16857407407407407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241</v>
      </c>
      <c r="B21" s="206"/>
      <c r="C21" s="206"/>
      <c r="D21" s="206"/>
      <c r="E21" s="206"/>
      <c r="F21" s="207"/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242</v>
      </c>
      <c r="B22" s="206"/>
      <c r="C22" s="206"/>
      <c r="D22" s="206"/>
      <c r="E22" s="206"/>
      <c r="F22" s="207">
        <v>1</v>
      </c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243</v>
      </c>
      <c r="B23" s="206"/>
      <c r="C23" s="206"/>
      <c r="D23" s="206"/>
      <c r="E23" s="206"/>
      <c r="F23" s="207"/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220</v>
      </c>
      <c r="B25" s="210"/>
      <c r="C25" s="210"/>
      <c r="D25" s="210"/>
      <c r="E25" s="210"/>
      <c r="F25" s="210"/>
      <c r="G25" s="211"/>
      <c r="H25" s="212" t="s">
        <v>221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244</v>
      </c>
      <c r="B27" s="126" t="s">
        <v>223</v>
      </c>
      <c r="C27" s="178" t="s">
        <v>224</v>
      </c>
      <c r="D27" s="178"/>
      <c r="E27" s="65" t="s">
        <v>245</v>
      </c>
      <c r="F27" s="65" t="s">
        <v>246</v>
      </c>
      <c r="G27" s="213" t="s">
        <v>247</v>
      </c>
      <c r="H27" s="126" t="str">
        <f>Licitante!$B$2</f>
        <v>Campos do Jordão / SP</v>
      </c>
      <c r="I27" s="186"/>
      <c r="J27" s="187"/>
    </row>
    <row r="28" spans="1:19" ht="24.8" customHeight="1">
      <c r="A28" s="30" t="s">
        <v>248</v>
      </c>
      <c r="B28" s="179"/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0</v>
      </c>
      <c r="I28" s="194"/>
      <c r="J28" s="194"/>
    </row>
    <row r="29" spans="1:19" ht="27.4" customHeight="1">
      <c r="A29" s="30" t="s">
        <v>249</v>
      </c>
      <c r="B29" s="179">
        <v>25</v>
      </c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5.5765606004840457E-3</v>
      </c>
      <c r="I29" s="194"/>
      <c r="J29" s="194"/>
    </row>
    <row r="30" spans="1:19" ht="27.25" customHeight="1">
      <c r="A30" s="30" t="s">
        <v>250</v>
      </c>
      <c r="B30" s="179">
        <v>29</v>
      </c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6.4688102965614934E-3</v>
      </c>
      <c r="I30" s="194"/>
      <c r="J30" s="194"/>
    </row>
    <row r="31" spans="1:19" ht="27.25" customHeight="1">
      <c r="A31" s="30" t="s">
        <v>251</v>
      </c>
      <c r="B31" s="179"/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0</v>
      </c>
      <c r="I31" s="194"/>
      <c r="J31" s="194"/>
    </row>
    <row r="32" spans="1:19" ht="28.4" customHeight="1">
      <c r="A32" s="215" t="s">
        <v>252</v>
      </c>
      <c r="B32" s="215"/>
      <c r="C32" s="215"/>
      <c r="D32" s="215"/>
      <c r="E32" s="215"/>
      <c r="F32" s="215"/>
      <c r="G32" s="216"/>
      <c r="H32" s="203">
        <f>SUM(H28:H31)</f>
        <v>1.2045370897045538E-2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F884B-7D43-491C-9157-BD1A8AD4909A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Campos do Jordão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264.5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  <c r="I18" s="239"/>
    </row>
    <row r="19" spans="1:9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  <c r="I19" s="239"/>
    </row>
    <row r="20" spans="1:9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  <c r="I21" s="239"/>
    </row>
    <row r="22" spans="1:9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Campos do Jordão / SP</v>
      </c>
      <c r="I25" s="247" t="s">
        <v>282</v>
      </c>
    </row>
    <row r="26" spans="1:9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246" t="str">
        <f>Licitante!$B$2</f>
        <v>Campos do Jordão / SP</v>
      </c>
      <c r="I36" s="247" t="s">
        <v>282</v>
      </c>
    </row>
    <row r="37" spans="1:9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246" t="str">
        <f>Licitante!$B$2</f>
        <v>Campos do Jordão / SP</v>
      </c>
      <c r="I42" s="247" t="s">
        <v>282</v>
      </c>
    </row>
    <row r="43" spans="1:9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246" t="str">
        <f>Licitante!$B$2</f>
        <v>Campos do Jordão / SP</v>
      </c>
      <c r="I53" s="247" t="s">
        <v>282</v>
      </c>
    </row>
    <row r="54" spans="1:59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Licitante!I33</f>
        <v>75.121199999999973</v>
      </c>
      <c r="I54" s="257">
        <f>Licitante!I36</f>
        <v>65.785199999999975</v>
      </c>
    </row>
    <row r="55" spans="1:59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  <c r="I56" s="257">
        <f>Licitante!I18</f>
        <v>144.68</v>
      </c>
    </row>
    <row r="57" spans="1:59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317</v>
      </c>
      <c r="B62" s="264" t="s">
        <v>318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994.70120000000009</v>
      </c>
      <c r="I64" s="259">
        <f>SUM(I54:I63)</f>
        <v>985.36520000000007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246" t="str">
        <f>Licitante!$B$2</f>
        <v>Campos do Jordão / SP</v>
      </c>
      <c r="I67" s="247" t="s">
        <v>282</v>
      </c>
    </row>
    <row r="68" spans="1:9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260">
        <f t="shared" ref="H70:I70" si="3">H64</f>
        <v>994.70120000000009</v>
      </c>
      <c r="I70" s="260">
        <f t="shared" si="3"/>
        <v>985.36520000000007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1893.5773454545456</v>
      </c>
      <c r="I71" s="259">
        <f t="shared" si="4"/>
        <v>1965.690872727273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246" t="str">
        <f>Licitante!$B$2</f>
        <v>Campos do Jordão / SP</v>
      </c>
      <c r="I75" s="247" t="s">
        <v>282</v>
      </c>
    </row>
    <row r="76" spans="1:9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331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332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333</v>
      </c>
      <c r="B85" s="17"/>
      <c r="C85" s="17"/>
      <c r="D85" s="17"/>
      <c r="E85" s="17"/>
      <c r="F85" s="17"/>
      <c r="G85" s="17"/>
      <c r="H85" s="260">
        <f>H32+H71-(H54+H55+H62)+H81</f>
        <v>2917.4300395127875</v>
      </c>
      <c r="I85" s="260">
        <f>I32+I71-(I54+I55+I62)+I81</f>
        <v>3163.7767749822665</v>
      </c>
    </row>
    <row r="86" spans="1:9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246" t="str">
        <f>Licitante!$B$2</f>
        <v>Campos do Jordão / SP</v>
      </c>
      <c r="I86" s="247" t="s">
        <v>282</v>
      </c>
    </row>
    <row r="87" spans="1:9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7.9874881300829221</v>
      </c>
      <c r="I88" s="248">
        <f>G88*I85</f>
        <v>8.6619487336954588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0.59906160975621914</v>
      </c>
      <c r="I89" s="248">
        <f>G89*I85</f>
        <v>0.64964615502715939</v>
      </c>
    </row>
    <row r="90" spans="1:9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0.93453611121970193</v>
      </c>
      <c r="I90" s="286">
        <f>G90*I85</f>
        <v>1.0134480018423686</v>
      </c>
    </row>
    <row r="91" spans="1:9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19.169971512199012</v>
      </c>
      <c r="I91" s="257">
        <f>G91*I85</f>
        <v>20.7886769608691</v>
      </c>
    </row>
    <row r="92" spans="1:9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23.962464390248769</v>
      </c>
      <c r="I92" s="248">
        <f>G92*I85</f>
        <v>25.985846201086378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272.73895646425041</v>
      </c>
      <c r="I94" s="250">
        <f t="shared" si="6"/>
        <v>291.3304553087188</v>
      </c>
    </row>
    <row r="95" spans="1:9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246" t="str">
        <f>Licitante!$B$2</f>
        <v>Campos do Jordão / SP</v>
      </c>
      <c r="I96" s="247" t="s">
        <v>282</v>
      </c>
    </row>
    <row r="97" spans="1:9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246" t="str">
        <f>Licitante!$B$2</f>
        <v>Campos do Jordão / SP</v>
      </c>
      <c r="I101" s="247" t="s">
        <v>282</v>
      </c>
    </row>
    <row r="102" spans="1:9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257">
        <f t="shared" ref="H102:I102" si="8">H94</f>
        <v>272.73895646425041</v>
      </c>
      <c r="I102" s="257">
        <f t="shared" si="8"/>
        <v>291.3304553087188</v>
      </c>
    </row>
    <row r="103" spans="1:9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272.73895646425041</v>
      </c>
      <c r="I104" s="290">
        <f t="shared" si="10"/>
        <v>291.3304553087188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246" t="str">
        <f>Licitante!$B$2</f>
        <v>Campos do Jordão / SP</v>
      </c>
      <c r="I107" s="247" t="s">
        <v>282</v>
      </c>
    </row>
    <row r="108" spans="1:9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257">
        <f>H115*Licitante!H127</f>
        <v>553.13758354232323</v>
      </c>
      <c r="I109" s="257">
        <f>I115*Licitante!H127</f>
        <v>587.99243367604333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623.35966687565656</v>
      </c>
      <c r="I112" s="259">
        <f t="shared" si="11"/>
        <v>658.21451700937666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246" t="str">
        <f>Licitante!$B$2</f>
        <v>Campos do Jordão / SP</v>
      </c>
      <c r="I114" s="247" t="s">
        <v>282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4609.4798628526942</v>
      </c>
      <c r="I115" s="259">
        <f>(I32+I71+I81+I104+I108+I110+I111)/(1-Licitante!H127)</f>
        <v>4899.9369473003617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246" t="str">
        <f>Licitante!$B$2</f>
        <v>Campos do Jordão / SP</v>
      </c>
      <c r="I118" s="247" t="s">
        <v>282</v>
      </c>
    </row>
    <row r="119" spans="1:9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257">
        <f>G119*H115</f>
        <v>230.47399314263473</v>
      </c>
      <c r="I119" s="257">
        <f>G119*I115</f>
        <v>244.99684736501808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483.99538559953294</v>
      </c>
      <c r="I120" s="248">
        <f>G120*(I115+I119)</f>
        <v>514.49337946653793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884.73792061488973</v>
      </c>
      <c r="I121" s="292">
        <f>I130*F129</f>
        <v>940.48789774203897</v>
      </c>
    </row>
    <row r="122" spans="1:9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292"/>
      <c r="I127" s="292"/>
    </row>
    <row r="128" spans="1:9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Campos do Jordão / SP</v>
      </c>
      <c r="D129" s="295"/>
      <c r="E129" s="296">
        <f>Licitante!D83</f>
        <v>0.05</v>
      </c>
      <c r="F129" s="262">
        <f>E129+F123</f>
        <v>0.14250000000000002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6208.6871622097515</v>
      </c>
      <c r="I130" s="259">
        <f>(I115+I119+I120)/(1-F129)</f>
        <v>6599.9150718739565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5377.7265066614764</v>
      </c>
      <c r="I132" s="299"/>
    </row>
    <row r="133" spans="1:9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246" t="str">
        <f>Licitante!$B$2</f>
        <v>Campos do Jordão / SP</v>
      </c>
      <c r="I134" s="247" t="s">
        <v>282</v>
      </c>
    </row>
    <row r="135" spans="1:9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257">
        <f>H71</f>
        <v>1893.5773454545456</v>
      </c>
      <c r="I136" s="257">
        <f>I71</f>
        <v>1965.690872727273</v>
      </c>
    </row>
    <row r="137" spans="1:9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257">
        <f>H104</f>
        <v>272.73895646425041</v>
      </c>
      <c r="I138" s="257">
        <f>I104</f>
        <v>291.3304553087188</v>
      </c>
    </row>
    <row r="139" spans="1:9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257">
        <f>H112</f>
        <v>623.35966687565656</v>
      </c>
      <c r="I139" s="257">
        <f>I112</f>
        <v>658.21451700937666</v>
      </c>
    </row>
    <row r="140" spans="1:9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4609.4798628526942</v>
      </c>
      <c r="I140" s="248">
        <f t="shared" si="12"/>
        <v>4899.9369473003617</v>
      </c>
    </row>
    <row r="141" spans="1:9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257">
        <f t="shared" ref="H141:I141" si="13">H130</f>
        <v>6208.6871622097515</v>
      </c>
      <c r="I141" s="257">
        <f t="shared" si="13"/>
        <v>6599.9150718739565</v>
      </c>
    </row>
    <row r="142" spans="1:9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00">
        <f>ROUND((H115+H119+H120)/(1-(F129)),2)</f>
        <v>6208.69</v>
      </c>
      <c r="I142" s="300">
        <f>ROUND((I115+I119+I120)/(1-(F129)),2)</f>
        <v>6599.92</v>
      </c>
    </row>
    <row r="144" spans="1:9" ht="38.299999999999997" customHeight="1">
      <c r="A144" s="69" t="s">
        <v>371</v>
      </c>
      <c r="B144" s="69"/>
      <c r="C144" s="69"/>
      <c r="D144" s="69"/>
      <c r="E144" s="69"/>
      <c r="F144" s="69"/>
      <c r="G144" s="69"/>
      <c r="H144" s="301">
        <f>I142-H142</f>
        <v>391.23000000000047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AC14CA-3563-4C07-836F-F0E6DAD6CEBA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Campos do Jordão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264.5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Campos do Jordão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Campos do Jordão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Campos do Jordão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Campos do Jordão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Licitante!I39</f>
        <v>116.33399999999997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885.9140000000001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Campos do Jordão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885.9140000000001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1425.2396872727272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Campos do Jordão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1829.9580237076723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Campos do Jordão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5.0101520156267547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0.37576140117200657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0.58618778582833031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12.024364837504212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15.030456046880266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165.07818291345785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Campos do Jordão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Campos do Jordão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165.07818291345785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165.07818291345785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Campos do Jordão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375.33031226651775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445.55239559985108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Campos do Jordão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3127.7526022209813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Campos do Jordão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156.38763011104908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328.41402323320307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600.3370045691496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Campos do Jordão / SP</v>
      </c>
      <c r="D129" s="295"/>
      <c r="E129" s="296">
        <f>Licitante!D83</f>
        <v>0.05</v>
      </c>
      <c r="F129" s="262">
        <f>E129+F123</f>
        <v>0.14250000000000002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4212.8912601343827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3649.0447025911449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Campos do Jordão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1425.2396872727272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165.07818291345785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445.55239559985108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3127.7526022209813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4212.8912601343827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4212.8900000000003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18D522-DAEC-4967-8CD0-6B128F406D53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Campos do Jordão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264.5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Campos do Jordão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Campos do Jordão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Campos do Jordão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Campos do Jordão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Licitante!I33</f>
        <v>75.121199999999973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994.70120000000009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Campos do Jordão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994.70120000000009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2211.4189454545458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Campos do Jordão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3878.7522617304471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Campos do Jordão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10.619444932869122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0.79645836996518404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1.2424750571456873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25.486667838885893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31.85833479860737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367.9107793445807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Campos do Jordão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Campos do Jordão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367.9107793445807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367.9107793445807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Campos do Jordão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697.20495332841278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767.42703666174611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Campos do Jordão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5810.0412777367737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Campos do Jordão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290.5020638868387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610.05433416236133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1115.1722085125382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Campos do Jordão / SP</v>
      </c>
      <c r="D129" s="295"/>
      <c r="E129" s="296">
        <f>Licitante!D83</f>
        <v>0.05</v>
      </c>
      <c r="F129" s="262">
        <f>E129+F123</f>
        <v>0.14250000000000002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7825.7698842985128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6778.3814906929028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Campos do Jordão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2211.4189454545458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367.9107793445807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767.42703666174611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5810.0412777367746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7825.7698842985128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7825.77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BC016A-B9B4-4DBE-9AA1-6315EAE674BD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373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Campos do Jordão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375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27.65" customHeight="1">
      <c r="A12" s="230" t="s">
        <v>376</v>
      </c>
      <c r="B12" s="230"/>
      <c r="C12" s="230"/>
      <c r="D12" s="230" t="s">
        <v>377</v>
      </c>
      <c r="E12" s="230"/>
      <c r="F12" s="232">
        <f>'Áreas a serem limpas'!B29+'Áreas a serem limpas'!B30</f>
        <v>54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376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280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Campos do Jordão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288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289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Campos do Jordão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294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295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Campos do Jordão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306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Campos do Jordão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65.212799999999973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984.79280000000006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320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Campos do Jordão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984.79280000000006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1970.1122290909091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323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Campos do Jordão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331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332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3178.8805529795591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Campos do Jordão / SP</v>
      </c>
    </row>
    <row r="86" spans="1:8" ht="25.35" customHeight="1">
      <c r="A86" s="224" t="s">
        <v>66</v>
      </c>
      <c r="B86" s="328" t="s">
        <v>336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8.7033006241740143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0.65274754681305103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1.0182861730283597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20.887921498017636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26.109901872522048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298.62280829306752</v>
      </c>
    </row>
    <row r="94" spans="1:8" ht="20.3" customHeight="1">
      <c r="A94" s="254" t="s">
        <v>341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Campos do Jordão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345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Campos do Jordão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298.62280829306752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298.62280829306752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347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Campos do Jordão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57">
        <f>H114*Licitante!H127</f>
        <v>590.96839699172176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661.19048032505509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Campos do Jordão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4924.7366415976812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352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Campos do Jordão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246.23683207988407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517.09734736775658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945.247920698494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Campos do Jordão / SP</v>
      </c>
      <c r="D128" s="295"/>
      <c r="E128" s="296">
        <f>Licitante!D83</f>
        <v>0.05</v>
      </c>
      <c r="F128" s="262">
        <f>E128+F122</f>
        <v>0.14250000000000002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6633.3187417438166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364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Campos do Jordão / SP</v>
      </c>
    </row>
    <row r="133" spans="1:8" ht="29.95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1970.1122290909091</v>
      </c>
    </row>
    <row r="135" spans="1:8" ht="21.6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298.62280829306752</v>
      </c>
    </row>
    <row r="137" spans="1:8" ht="26.6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661.19048032505509</v>
      </c>
    </row>
    <row r="138" spans="1:8" ht="31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4924.7366415976821</v>
      </c>
    </row>
    <row r="139" spans="1:8" ht="32.4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6633.3187417438166</v>
      </c>
    </row>
    <row r="140" spans="1:8" ht="36.75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6633.32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53BEB-55B4-4EF6-862C-E8EEC3D94981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381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Campos do Jordão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382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33.549999999999997" customHeight="1">
      <c r="A12" s="230" t="s">
        <v>383</v>
      </c>
      <c r="B12" s="230"/>
      <c r="C12" s="230"/>
      <c r="D12" s="231" t="s">
        <v>384</v>
      </c>
      <c r="E12" s="231"/>
      <c r="F12" s="232">
        <f>'Áreas a serem limpas'!B28</f>
        <v>0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385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Campos do Jordão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288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289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Campos do Jordão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294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386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Campos do Jordão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306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Campos do Jordão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65.212799999999973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984.79280000000006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320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Campos do Jordão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984.79280000000006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2265.7080578181822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323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Campos do Jordão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331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332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4072.9197188734279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Campos do Jordão / SP</v>
      </c>
    </row>
    <row r="86" spans="1:8" ht="25.35" customHeight="1">
      <c r="A86" s="224" t="s">
        <v>66</v>
      </c>
      <c r="B86" s="264" t="s">
        <v>387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11.151046458243471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0.83632848436826024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1.3046724356144861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33.453139374730412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376.45015858305152</v>
      </c>
    </row>
    <row r="94" spans="1:8" ht="20.3" customHeight="1">
      <c r="A94" s="271" t="s">
        <v>341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Campos do Jordão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345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Campos do Jordão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376.45015858305152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376.45015858305152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347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Campos do Jordão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91">
        <f>H114*Licitante!H127</f>
        <v>723.49564919861075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793.71773253194408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Campos do Jordão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6029.1304099884228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352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Campos do Jordão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301.45652049942117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633.05869304878445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1157.2239082845128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Campos do Jordão / SP</v>
      </c>
      <c r="D128" s="295"/>
      <c r="E128" s="296">
        <f>Licitante!D83</f>
        <v>0.05</v>
      </c>
      <c r="F128" s="262">
        <f>E128+F122</f>
        <v>0.14250000000000002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8120.8695318211421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364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Campos do Jordão / SP</v>
      </c>
    </row>
    <row r="133" spans="1:8" ht="31.7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2265.7080578181822</v>
      </c>
    </row>
    <row r="135" spans="1:8" ht="34.85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376.45015858305152</v>
      </c>
    </row>
    <row r="137" spans="1:8" ht="29.9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793.71773253194408</v>
      </c>
    </row>
    <row r="138" spans="1:8" ht="28.4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6029.1304099884237</v>
      </c>
    </row>
    <row r="139" spans="1:8" ht="31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8120.8695318211421</v>
      </c>
    </row>
    <row r="140" spans="1:8" ht="27.4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8120.87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BAF1FD-2BEE-4DB8-8ABE-EA82D4DAA229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388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389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390</v>
      </c>
      <c r="B5" s="340"/>
      <c r="C5" s="340"/>
      <c r="D5" s="340"/>
      <c r="E5" s="341" t="str">
        <f>Licitante!B3</f>
        <v>ARF/Campos do Jordão</v>
      </c>
      <c r="F5" s="341"/>
      <c r="G5" s="342"/>
      <c r="H5" s="159" t="s">
        <v>391</v>
      </c>
      <c r="I5" s="167" t="s">
        <v>201</v>
      </c>
      <c r="J5" s="343" t="s">
        <v>392</v>
      </c>
    </row>
    <row r="6" spans="1:10" ht="34.15" customHeight="1">
      <c r="A6" s="337" t="s">
        <v>393</v>
      </c>
      <c r="B6" s="337"/>
      <c r="C6" s="344" t="s">
        <v>394</v>
      </c>
      <c r="D6" s="345" t="s">
        <v>271</v>
      </c>
      <c r="E6" s="345"/>
      <c r="F6" s="344" t="s">
        <v>395</v>
      </c>
      <c r="G6" s="344" t="s">
        <v>396</v>
      </c>
      <c r="H6" s="159"/>
      <c r="I6" s="167"/>
      <c r="J6" s="343"/>
    </row>
    <row r="7" spans="1:10" ht="34.85" customHeight="1">
      <c r="A7" s="346" t="s">
        <v>225</v>
      </c>
      <c r="B7" s="346"/>
      <c r="C7" s="347">
        <v>1200</v>
      </c>
      <c r="D7" s="346" t="s">
        <v>268</v>
      </c>
      <c r="E7" s="346"/>
      <c r="F7" s="348">
        <f>'Servente 40h'!H142</f>
        <v>6208.69</v>
      </c>
      <c r="G7" s="349">
        <f>ROUND((1/C7)*F7,7)</f>
        <v>5.1739082999999999</v>
      </c>
      <c r="H7" s="350">
        <f>IF('CALCULO SIMPLES'!B37 = "m2",'Áreas a serem limpas'!B4,0)</f>
        <v>0</v>
      </c>
      <c r="I7" s="351">
        <f>G7*H7</f>
        <v>0</v>
      </c>
      <c r="J7" s="343"/>
    </row>
    <row r="8" spans="1:10" ht="34.85" customHeight="1">
      <c r="A8" s="346" t="s">
        <v>226</v>
      </c>
      <c r="B8" s="346"/>
      <c r="C8" s="347">
        <v>1200</v>
      </c>
      <c r="D8" s="346" t="s">
        <v>268</v>
      </c>
      <c r="E8" s="346"/>
      <c r="F8" s="348">
        <f>'Servente 40h'!H142</f>
        <v>6208.69</v>
      </c>
      <c r="G8" s="349">
        <f>ROUND((1/C8)*F8,7)</f>
        <v>5.1739082999999999</v>
      </c>
      <c r="H8" s="350">
        <f>IF('CALCULO SIMPLES'!B37 = "m2",'Áreas a serem limpas'!B5,0)</f>
        <v>0</v>
      </c>
      <c r="I8" s="351">
        <f t="shared" ref="I8:I14" si="0">G8*H8</f>
        <v>0</v>
      </c>
      <c r="J8" s="343"/>
    </row>
    <row r="9" spans="1:10" ht="34.85" customHeight="1">
      <c r="A9" s="346" t="s">
        <v>397</v>
      </c>
      <c r="B9" s="346"/>
      <c r="C9" s="347">
        <v>450</v>
      </c>
      <c r="D9" s="346" t="s">
        <v>268</v>
      </c>
      <c r="E9" s="346"/>
      <c r="F9" s="348">
        <f>'Servente 40h'!H142</f>
        <v>6208.69</v>
      </c>
      <c r="G9" s="349">
        <f>ROUND((1/C9)*F9,7)</f>
        <v>13.7970889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228</v>
      </c>
      <c r="B10" s="346"/>
      <c r="C10" s="347">
        <v>2500</v>
      </c>
      <c r="D10" s="346" t="s">
        <v>268</v>
      </c>
      <c r="E10" s="346"/>
      <c r="F10" s="348">
        <f>'Servente 40h'!H142</f>
        <v>6208.69</v>
      </c>
      <c r="G10" s="349">
        <f t="shared" ref="G10:G11" si="1">ROUND((1/C10)*F10,7)</f>
        <v>2.483476</v>
      </c>
      <c r="H10" s="350">
        <f>IF('CALCULO SIMPLES'!B37 = "m2",'Áreas a serem limpas'!B7,0)</f>
        <v>0</v>
      </c>
      <c r="I10" s="351">
        <f t="shared" si="0"/>
        <v>0</v>
      </c>
      <c r="J10" s="343"/>
    </row>
    <row r="11" spans="1:10" ht="34.85" customHeight="1">
      <c r="A11" s="346" t="s">
        <v>229</v>
      </c>
      <c r="B11" s="346"/>
      <c r="C11" s="347">
        <v>1800</v>
      </c>
      <c r="D11" s="346" t="s">
        <v>268</v>
      </c>
      <c r="E11" s="346"/>
      <c r="F11" s="348">
        <f>'Servente 40h'!H142</f>
        <v>6208.69</v>
      </c>
      <c r="G11" s="349">
        <f t="shared" si="1"/>
        <v>3.4492721999999998</v>
      </c>
      <c r="H11" s="350">
        <f>IF('CALCULO SIMPLES'!B37 = "m2",'Áreas a serem limpas'!B8,0)</f>
        <v>0</v>
      </c>
      <c r="I11" s="351">
        <f t="shared" si="0"/>
        <v>0</v>
      </c>
      <c r="J11" s="343"/>
    </row>
    <row r="12" spans="1:10" ht="37.299999999999997" customHeight="1">
      <c r="A12" s="346" t="s">
        <v>230</v>
      </c>
      <c r="B12" s="346"/>
      <c r="C12" s="347">
        <v>1500</v>
      </c>
      <c r="D12" s="346" t="s">
        <v>268</v>
      </c>
      <c r="E12" s="346"/>
      <c r="F12" s="348">
        <f>'Servente 40h'!H142</f>
        <v>6208.69</v>
      </c>
      <c r="G12" s="349">
        <f>ROUND((1/C12)*F12,7)</f>
        <v>4.1391267000000003</v>
      </c>
      <c r="H12" s="350">
        <f>IF('CALCULO SIMPLES'!B37 = "m2",'Áreas a serem limpas'!B9,0)</f>
        <v>0</v>
      </c>
      <c r="I12" s="351">
        <f t="shared" si="0"/>
        <v>0</v>
      </c>
      <c r="J12" s="343"/>
    </row>
    <row r="13" spans="1:10" ht="37.299999999999997" customHeight="1">
      <c r="A13" s="352" t="s">
        <v>398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0</v>
      </c>
      <c r="J13" s="343"/>
    </row>
    <row r="14" spans="1:10" ht="29.1" customHeight="1">
      <c r="A14" s="346" t="s">
        <v>399</v>
      </c>
      <c r="B14" s="346"/>
      <c r="C14" s="347">
        <f>'Áreas a serem limpas'!C10</f>
        <v>300</v>
      </c>
      <c r="D14" s="346" t="s">
        <v>268</v>
      </c>
      <c r="E14" s="346"/>
      <c r="F14" s="348">
        <f>'Servente 40h'!H142</f>
        <v>6208.69</v>
      </c>
      <c r="G14" s="349">
        <f>ROUND((1/C14)*F14,7)</f>
        <v>20.695633300000001</v>
      </c>
      <c r="H14" s="350">
        <f>IF('CALCULO SIMPLES'!B37 = "m2",'Áreas a serem limpas'!B10,0)</f>
        <v>0</v>
      </c>
      <c r="I14" s="351">
        <f t="shared" si="0"/>
        <v>0</v>
      </c>
      <c r="J14" s="343"/>
    </row>
    <row r="15" spans="1:10" ht="29.1" customHeight="1">
      <c r="A15" s="346" t="s">
        <v>400</v>
      </c>
      <c r="B15" s="346"/>
      <c r="C15" s="347">
        <v>300</v>
      </c>
      <c r="D15" s="346" t="s">
        <v>401</v>
      </c>
      <c r="E15" s="346"/>
      <c r="F15" s="348">
        <f>'Servente com insalubridade'!H142</f>
        <v>7825.77</v>
      </c>
      <c r="G15" s="349">
        <f>ROUND((1/C15)*F15,7)</f>
        <v>26.085899999999999</v>
      </c>
      <c r="H15" s="350">
        <f>IF('CALCULO SIMPLES'!B37 = "m2",'Áreas a serem limpas'!B11,0)</f>
        <v>0</v>
      </c>
      <c r="I15" s="351">
        <f>G15*H15</f>
        <v>0</v>
      </c>
      <c r="J15" s="353">
        <f>SUM(I7:I15)</f>
        <v>0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402</v>
      </c>
      <c r="B17" s="340"/>
      <c r="C17" s="340"/>
      <c r="D17" s="340"/>
      <c r="E17" s="354" t="str">
        <f>Licitante!B3</f>
        <v>ARF/Campos do Jordão</v>
      </c>
      <c r="F17" s="341"/>
      <c r="G17" s="342"/>
      <c r="H17" s="159" t="s">
        <v>403</v>
      </c>
      <c r="I17" s="167" t="s">
        <v>201</v>
      </c>
      <c r="J17" s="355" t="s">
        <v>404</v>
      </c>
      <c r="K17" s="120"/>
      <c r="L17" s="190"/>
      <c r="M17" s="356"/>
      <c r="N17" s="356"/>
      <c r="O17" s="356"/>
    </row>
    <row r="18" spans="1:15" ht="29.1" customHeight="1">
      <c r="A18" s="337" t="s">
        <v>405</v>
      </c>
      <c r="B18" s="337"/>
      <c r="C18" s="344" t="s">
        <v>394</v>
      </c>
      <c r="D18" s="345" t="s">
        <v>271</v>
      </c>
      <c r="E18" s="345"/>
      <c r="F18" s="344" t="s">
        <v>395</v>
      </c>
      <c r="G18" s="344" t="s">
        <v>396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406</v>
      </c>
      <c r="B19" s="359"/>
      <c r="C19" s="360">
        <v>2700</v>
      </c>
      <c r="D19" s="180" t="s">
        <v>268</v>
      </c>
      <c r="E19" s="182"/>
      <c r="F19" s="361">
        <f>'Servente 40h'!H142</f>
        <v>6208.69</v>
      </c>
      <c r="G19" s="362">
        <f>ROUND((1/C19)*F19,7)</f>
        <v>2.2995147999999999</v>
      </c>
      <c r="H19" s="363">
        <f>IF('CALCULO SIMPLES'!B37 = "m2",'Áreas a serem limpas'!B13,0)</f>
        <v>0</v>
      </c>
      <c r="I19" s="364">
        <f>G19*H19</f>
        <v>0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235</v>
      </c>
      <c r="B20" s="359"/>
      <c r="C20" s="365">
        <v>9000</v>
      </c>
      <c r="D20" s="180" t="s">
        <v>268</v>
      </c>
      <c r="E20" s="182"/>
      <c r="F20" s="361">
        <f>'Servente 40h'!H142</f>
        <v>6208.69</v>
      </c>
      <c r="G20" s="362">
        <f t="shared" ref="G20:G22" si="2">ROUND((1/C20)*F20,7)</f>
        <v>0.68985439999999998</v>
      </c>
      <c r="H20" s="363">
        <f>IF('CALCULO SIMPLES'!B37 = "m2",'Áreas a serem limpas'!B14,0)</f>
        <v>0</v>
      </c>
      <c r="I20" s="364">
        <f t="shared" ref="I20:I22" si="3">G20*H20</f>
        <v>0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236</v>
      </c>
      <c r="B21" s="359"/>
      <c r="C21" s="365">
        <v>2700</v>
      </c>
      <c r="D21" s="180" t="s">
        <v>268</v>
      </c>
      <c r="E21" s="182"/>
      <c r="F21" s="361">
        <f>'Servente 40h'!H142</f>
        <v>6208.69</v>
      </c>
      <c r="G21" s="362">
        <f t="shared" si="2"/>
        <v>2.2995147999999999</v>
      </c>
      <c r="H21" s="363">
        <f>IF('CALCULO SIMPLES'!B37 = "m2",'Áreas a serem limpas'!B15,0)</f>
        <v>0</v>
      </c>
      <c r="I21" s="364">
        <f t="shared" si="3"/>
        <v>0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237</v>
      </c>
      <c r="B22" s="359"/>
      <c r="C22" s="365">
        <v>2700</v>
      </c>
      <c r="D22" s="180" t="s">
        <v>268</v>
      </c>
      <c r="E22" s="182"/>
      <c r="F22" s="361">
        <f>'Servente 40h'!H142</f>
        <v>6208.69</v>
      </c>
      <c r="G22" s="362">
        <f t="shared" si="2"/>
        <v>2.2995147999999999</v>
      </c>
      <c r="H22" s="363">
        <f>IF('CALCULO SIMPLES'!B37 = "m2",'Áreas a serem limpas'!B16,0)</f>
        <v>0</v>
      </c>
      <c r="I22" s="364">
        <f t="shared" si="3"/>
        <v>0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238</v>
      </c>
      <c r="B23" s="359"/>
      <c r="C23" s="365">
        <v>2700</v>
      </c>
      <c r="D23" s="180" t="s">
        <v>268</v>
      </c>
      <c r="E23" s="182"/>
      <c r="F23" s="361">
        <f>'Servente 40h'!H142</f>
        <v>6208.69</v>
      </c>
      <c r="G23" s="362">
        <f>ROUND((1/C23)*F23,7)</f>
        <v>2.2995147999999999</v>
      </c>
      <c r="H23" s="363">
        <f>IF('CALCULO SIMPLES'!B37 = "m2",'Áreas a serem limpas'!B17,0)</f>
        <v>0</v>
      </c>
      <c r="I23" s="364">
        <f>G23*H23</f>
        <v>0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239</v>
      </c>
      <c r="B24" s="359"/>
      <c r="C24" s="365">
        <v>100000</v>
      </c>
      <c r="D24" s="180" t="s">
        <v>268</v>
      </c>
      <c r="E24" s="182"/>
      <c r="F24" s="361">
        <f>'Servente 40h'!H142</f>
        <v>6208.69</v>
      </c>
      <c r="G24" s="362">
        <f>ROUND((1/C24)*F24,7)</f>
        <v>6.20869E-2</v>
      </c>
      <c r="H24" s="363">
        <f>IF('CALCULO SIMPLES'!B37 = "m2",'Áreas a serem limpas'!B18,0)</f>
        <v>0</v>
      </c>
      <c r="I24" s="364">
        <f>G24*H24</f>
        <v>0</v>
      </c>
      <c r="J24" s="369">
        <f>SUM(I19:I24)</f>
        <v>0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407</v>
      </c>
      <c r="B26" s="338"/>
      <c r="C26" s="338"/>
      <c r="D26" s="338"/>
      <c r="E26" s="338"/>
      <c r="F26" s="338"/>
      <c r="G26" s="338"/>
      <c r="H26" s="159" t="s">
        <v>408</v>
      </c>
      <c r="I26" s="159" t="s">
        <v>201</v>
      </c>
      <c r="J26" s="371" t="s">
        <v>409</v>
      </c>
    </row>
    <row r="27" spans="1:15" ht="25.65" customHeight="1">
      <c r="A27" s="372" t="s">
        <v>410</v>
      </c>
      <c r="B27" s="372"/>
      <c r="C27" s="372"/>
      <c r="D27" s="372"/>
      <c r="E27" s="372"/>
      <c r="F27" s="373">
        <v>380</v>
      </c>
      <c r="G27" s="373" t="s">
        <v>411</v>
      </c>
      <c r="H27" s="159"/>
      <c r="I27" s="159"/>
      <c r="J27" s="374"/>
    </row>
    <row r="28" spans="1:15" ht="22.5" customHeight="1">
      <c r="A28" s="345" t="s">
        <v>412</v>
      </c>
      <c r="B28" s="345"/>
      <c r="C28" s="344" t="s">
        <v>413</v>
      </c>
      <c r="D28" s="344" t="s">
        <v>414</v>
      </c>
      <c r="E28" s="344" t="s">
        <v>415</v>
      </c>
      <c r="F28" s="344" t="s">
        <v>416</v>
      </c>
      <c r="G28" s="344" t="s">
        <v>417</v>
      </c>
      <c r="H28" s="159"/>
      <c r="I28" s="159"/>
      <c r="J28" s="375"/>
    </row>
    <row r="29" spans="1:15" ht="29.1" customHeight="1">
      <c r="A29" s="346" t="str">
        <f>Licitante!B3</f>
        <v>ARF/Campos do Jordão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6633.32</v>
      </c>
      <c r="G29" s="379">
        <f>ROUND(F29*E29,7)</f>
        <v>1.4798937000000001</v>
      </c>
      <c r="H29" s="380">
        <f>IF('CALCULO SIMPLES'!B37 = "m2",'Áreas a serem limpas'!B29+'Áreas a serem limpas'!B30,0)</f>
        <v>0</v>
      </c>
      <c r="I29" s="381">
        <f>G29*H29</f>
        <v>0</v>
      </c>
      <c r="J29" s="381">
        <f>I29</f>
        <v>0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418</v>
      </c>
      <c r="B31" s="338"/>
      <c r="C31" s="338"/>
      <c r="D31" s="338"/>
      <c r="E31" s="338"/>
      <c r="F31" s="338"/>
      <c r="G31" s="338"/>
      <c r="H31" s="159" t="s">
        <v>419</v>
      </c>
      <c r="I31" s="159" t="s">
        <v>201</v>
      </c>
      <c r="J31" s="383" t="s">
        <v>420</v>
      </c>
    </row>
    <row r="32" spans="1:15" ht="25.65" customHeight="1">
      <c r="A32" s="372" t="s">
        <v>410</v>
      </c>
      <c r="B32" s="372"/>
      <c r="C32" s="372"/>
      <c r="D32" s="372"/>
      <c r="E32" s="372"/>
      <c r="F32" s="384">
        <v>160</v>
      </c>
      <c r="G32" s="373" t="s">
        <v>411</v>
      </c>
      <c r="H32" s="159"/>
      <c r="I32" s="159"/>
      <c r="J32" s="383"/>
    </row>
    <row r="33" spans="1:12" ht="25.35">
      <c r="A33" s="337" t="s">
        <v>412</v>
      </c>
      <c r="B33" s="337"/>
      <c r="C33" s="344" t="s">
        <v>421</v>
      </c>
      <c r="D33" s="344" t="s">
        <v>422</v>
      </c>
      <c r="E33" s="385" t="s">
        <v>423</v>
      </c>
      <c r="F33" s="344" t="s">
        <v>416</v>
      </c>
      <c r="G33" s="344" t="s">
        <v>417</v>
      </c>
      <c r="H33" s="159"/>
      <c r="I33" s="159"/>
      <c r="J33" s="383"/>
    </row>
    <row r="34" spans="1:12" ht="31" customHeight="1">
      <c r="A34" s="386" t="str">
        <f>Licitante!B3</f>
        <v>ARF/Campos do Jordão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8120.87</v>
      </c>
      <c r="G34" s="362">
        <f>F34*E34</f>
        <v>0.35813036700000001</v>
      </c>
      <c r="H34" s="363">
        <f>IF('CALCULO SIMPLES'!B37 = "m2",'Áreas a serem limpas'!B28+'Áreas a serem limpas'!B31,0)</f>
        <v>0</v>
      </c>
      <c r="I34" s="390">
        <f>G34*H34</f>
        <v>0</v>
      </c>
      <c r="J34" s="391">
        <f>I34</f>
        <v>0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424</v>
      </c>
      <c r="B36" s="338"/>
      <c r="C36" s="338"/>
      <c r="D36" s="338"/>
      <c r="E36" s="338"/>
      <c r="F36" s="338"/>
      <c r="G36" s="338"/>
      <c r="J36" s="392" t="s">
        <v>425</v>
      </c>
      <c r="K36" s="393">
        <f>J15+J24+J29+J34</f>
        <v>0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412</v>
      </c>
      <c r="B38" s="397" t="s">
        <v>426</v>
      </c>
      <c r="C38" s="397"/>
      <c r="D38" s="397" t="s">
        <v>427</v>
      </c>
      <c r="E38" s="397"/>
      <c r="F38" s="396" t="s">
        <v>428</v>
      </c>
      <c r="G38" s="396" t="s">
        <v>429</v>
      </c>
      <c r="J38" s="395"/>
    </row>
    <row r="39" spans="1:12" ht="29.1" customHeight="1">
      <c r="A39" s="398" t="str">
        <f>Licitante!B3</f>
        <v>ARF/Campos do Jordão</v>
      </c>
      <c r="B39" s="398" t="s">
        <v>222</v>
      </c>
      <c r="C39" s="387" t="s">
        <v>225</v>
      </c>
      <c r="D39" s="399">
        <f t="shared" ref="D39:D44" si="4">G7</f>
        <v>5.1739082999999999</v>
      </c>
      <c r="E39" s="400"/>
      <c r="F39" s="388">
        <f t="shared" ref="F39:F44" si="5">H7</f>
        <v>0</v>
      </c>
      <c r="G39" s="401">
        <f t="shared" ref="G39:G52" si="6">D39*F39</f>
        <v>0</v>
      </c>
      <c r="J39" s="402"/>
    </row>
    <row r="40" spans="1:12" ht="27.4" customHeight="1">
      <c r="A40" s="403"/>
      <c r="B40" s="403"/>
      <c r="C40" s="387" t="s">
        <v>226</v>
      </c>
      <c r="D40" s="399">
        <f t="shared" si="4"/>
        <v>5.1739082999999999</v>
      </c>
      <c r="E40" s="400"/>
      <c r="F40" s="388">
        <f t="shared" si="5"/>
        <v>0</v>
      </c>
      <c r="G40" s="401">
        <f t="shared" si="6"/>
        <v>0</v>
      </c>
    </row>
    <row r="41" spans="1:12" ht="27.4" customHeight="1">
      <c r="A41" s="403"/>
      <c r="B41" s="403"/>
      <c r="C41" s="387" t="s">
        <v>397</v>
      </c>
      <c r="D41" s="399">
        <f t="shared" si="4"/>
        <v>13.7970889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228</v>
      </c>
      <c r="D42" s="399">
        <f t="shared" si="4"/>
        <v>2.483476</v>
      </c>
      <c r="E42" s="400"/>
      <c r="F42" s="388">
        <f t="shared" si="5"/>
        <v>0</v>
      </c>
      <c r="G42" s="401">
        <f t="shared" si="6"/>
        <v>0</v>
      </c>
    </row>
    <row r="43" spans="1:12" ht="27.4" customHeight="1">
      <c r="A43" s="403"/>
      <c r="B43" s="403"/>
      <c r="C43" s="387" t="s">
        <v>229</v>
      </c>
      <c r="D43" s="399">
        <f t="shared" si="4"/>
        <v>3.4492721999999998</v>
      </c>
      <c r="E43" s="400"/>
      <c r="F43" s="388">
        <f t="shared" si="5"/>
        <v>0</v>
      </c>
      <c r="G43" s="401">
        <f t="shared" si="6"/>
        <v>0</v>
      </c>
    </row>
    <row r="44" spans="1:12" ht="31" customHeight="1">
      <c r="A44" s="403"/>
      <c r="B44" s="403"/>
      <c r="C44" s="387" t="s">
        <v>230</v>
      </c>
      <c r="D44" s="399">
        <f t="shared" si="4"/>
        <v>4.1391267000000003</v>
      </c>
      <c r="E44" s="400"/>
      <c r="F44" s="388">
        <f t="shared" si="5"/>
        <v>0</v>
      </c>
      <c r="G44" s="401">
        <f t="shared" si="6"/>
        <v>0</v>
      </c>
    </row>
    <row r="45" spans="1:12" ht="31" customHeight="1">
      <c r="A45" s="403"/>
      <c r="B45" s="403"/>
      <c r="C45" s="387" t="s">
        <v>399</v>
      </c>
      <c r="D45" s="399">
        <f>G14</f>
        <v>20.695633300000001</v>
      </c>
      <c r="E45" s="400"/>
      <c r="F45" s="388">
        <f>H14</f>
        <v>0</v>
      </c>
      <c r="G45" s="401">
        <f t="shared" si="6"/>
        <v>0</v>
      </c>
      <c r="J45" s="404"/>
    </row>
    <row r="46" spans="1:12" ht="31" customHeight="1">
      <c r="A46" s="403"/>
      <c r="B46" s="405"/>
      <c r="C46" s="387" t="s">
        <v>400</v>
      </c>
      <c r="D46" s="399">
        <f>G15</f>
        <v>26.085899999999999</v>
      </c>
      <c r="E46" s="400"/>
      <c r="F46" s="388">
        <f>H15</f>
        <v>0</v>
      </c>
      <c r="G46" s="401">
        <f t="shared" si="6"/>
        <v>0</v>
      </c>
      <c r="J46" s="404"/>
    </row>
    <row r="47" spans="1:12" ht="31" customHeight="1">
      <c r="A47" s="403"/>
      <c r="B47" s="403" t="s">
        <v>233</v>
      </c>
      <c r="C47" s="387" t="str">
        <f>'Áreas a serem limpas'!A13</f>
        <v>Pisos pavimentados adjacentes/contíguos às edificações</v>
      </c>
      <c r="D47" s="399">
        <f t="shared" ref="D47:D52" si="7">G19</f>
        <v>2.2995147999999999</v>
      </c>
      <c r="E47" s="400"/>
      <c r="F47" s="388">
        <f t="shared" ref="F47:F52" si="8">H19</f>
        <v>0</v>
      </c>
      <c r="G47" s="401">
        <f t="shared" si="6"/>
        <v>0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0.68985439999999998</v>
      </c>
      <c r="E48" s="400"/>
      <c r="F48" s="388">
        <f t="shared" si="8"/>
        <v>0</v>
      </c>
      <c r="G48" s="401">
        <f t="shared" si="6"/>
        <v>0</v>
      </c>
      <c r="J48" s="404"/>
    </row>
    <row r="49" spans="1:10" ht="27.4" customHeight="1">
      <c r="A49" s="403"/>
      <c r="B49" s="403"/>
      <c r="C49" s="387" t="s">
        <v>236</v>
      </c>
      <c r="D49" s="399">
        <f t="shared" si="7"/>
        <v>2.2995147999999999</v>
      </c>
      <c r="E49" s="400"/>
      <c r="F49" s="388">
        <f t="shared" si="8"/>
        <v>0</v>
      </c>
      <c r="G49" s="401">
        <f t="shared" si="6"/>
        <v>0</v>
      </c>
      <c r="J49" s="404"/>
    </row>
    <row r="50" spans="1:10" ht="27.4" customHeight="1">
      <c r="A50" s="403"/>
      <c r="B50" s="403"/>
      <c r="C50" s="387" t="s">
        <v>237</v>
      </c>
      <c r="D50" s="399">
        <f t="shared" si="7"/>
        <v>2.2995147999999999</v>
      </c>
      <c r="E50" s="400"/>
      <c r="F50" s="388">
        <f t="shared" si="8"/>
        <v>0</v>
      </c>
      <c r="G50" s="401">
        <f t="shared" si="6"/>
        <v>0</v>
      </c>
    </row>
    <row r="51" spans="1:10" ht="27.4" customHeight="1">
      <c r="A51" s="403"/>
      <c r="B51" s="403"/>
      <c r="C51" s="387" t="s">
        <v>238</v>
      </c>
      <c r="D51" s="399">
        <f t="shared" si="7"/>
        <v>2.2995147999999999</v>
      </c>
      <c r="E51" s="400"/>
      <c r="F51" s="388">
        <f t="shared" si="8"/>
        <v>0</v>
      </c>
      <c r="G51" s="401">
        <f t="shared" si="6"/>
        <v>0</v>
      </c>
    </row>
    <row r="52" spans="1:10" ht="31" customHeight="1">
      <c r="A52" s="403"/>
      <c r="B52" s="406"/>
      <c r="C52" s="407" t="s">
        <v>239</v>
      </c>
      <c r="D52" s="399">
        <f t="shared" si="7"/>
        <v>6.20869E-2</v>
      </c>
      <c r="E52" s="400"/>
      <c r="F52" s="388">
        <f t="shared" si="8"/>
        <v>0</v>
      </c>
      <c r="G52" s="401">
        <f t="shared" si="6"/>
        <v>0</v>
      </c>
    </row>
    <row r="53" spans="1:10" ht="31" customHeight="1">
      <c r="A53" s="403"/>
      <c r="B53" s="408" t="s">
        <v>430</v>
      </c>
      <c r="C53" s="409"/>
      <c r="D53" s="409"/>
      <c r="E53" s="409"/>
      <c r="F53" s="410"/>
      <c r="G53" s="401">
        <f>I13</f>
        <v>0</v>
      </c>
    </row>
    <row r="54" spans="1:10" ht="26.65" customHeight="1">
      <c r="A54" s="403"/>
      <c r="B54" s="398" t="s">
        <v>244</v>
      </c>
      <c r="C54" s="387" t="s">
        <v>431</v>
      </c>
      <c r="D54" s="399">
        <f>G29</f>
        <v>1.4798937000000001</v>
      </c>
      <c r="E54" s="400"/>
      <c r="F54" s="388">
        <f>H29</f>
        <v>0</v>
      </c>
      <c r="G54" s="401">
        <f>D54*F54</f>
        <v>0</v>
      </c>
    </row>
    <row r="55" spans="1:10" ht="28.4" customHeight="1">
      <c r="A55" s="403"/>
      <c r="B55" s="406"/>
      <c r="C55" s="387" t="s">
        <v>432</v>
      </c>
      <c r="D55" s="411">
        <f>G34</f>
        <v>0.35813036700000001</v>
      </c>
      <c r="E55" s="400"/>
      <c r="F55" s="388">
        <f>H34</f>
        <v>0</v>
      </c>
      <c r="G55" s="401">
        <f>D55*F55</f>
        <v>0</v>
      </c>
    </row>
    <row r="56" spans="1:10" ht="31" customHeight="1">
      <c r="A56" s="406"/>
      <c r="B56" s="339" t="s">
        <v>201</v>
      </c>
      <c r="C56" s="340"/>
      <c r="D56" s="341" t="str">
        <f>Licitante!B3</f>
        <v>ARF/Campos do Jordão</v>
      </c>
      <c r="E56" s="341"/>
      <c r="F56" s="342"/>
      <c r="G56" s="412">
        <f>SUM(G39:G55)</f>
        <v>0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433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426</v>
      </c>
      <c r="B60" s="415"/>
      <c r="C60" s="416" t="s">
        <v>428</v>
      </c>
      <c r="D60" s="417" t="s">
        <v>434</v>
      </c>
      <c r="E60" s="418" t="s">
        <v>435</v>
      </c>
      <c r="F60" s="419" t="s">
        <v>436</v>
      </c>
      <c r="G60" s="418" t="s">
        <v>437</v>
      </c>
    </row>
    <row r="61" spans="1:10" ht="28.25" customHeight="1">
      <c r="A61" s="420" t="s">
        <v>438</v>
      </c>
      <c r="B61" s="421" t="s">
        <v>225</v>
      </c>
      <c r="C61" s="422">
        <f>'Áreas a serem limpas'!B4</f>
        <v>0</v>
      </c>
      <c r="D61" s="423" t="s">
        <v>439</v>
      </c>
      <c r="E61" s="424">
        <f>'Servente 20h'!H142</f>
        <v>4212.8900000000003</v>
      </c>
      <c r="F61" s="425">
        <f>IF('CALCULO SIMPLES'!B37 = "Posto",1,0)</f>
        <v>1</v>
      </c>
      <c r="G61" s="426">
        <f>ROUND(E61*F61,2)</f>
        <v>4212.8900000000003</v>
      </c>
    </row>
    <row r="62" spans="1:10" ht="31" customHeight="1">
      <c r="A62" s="420"/>
      <c r="B62" s="421" t="s">
        <v>226</v>
      </c>
      <c r="C62" s="422">
        <f>'Áreas a serem limpas'!B5</f>
        <v>123</v>
      </c>
      <c r="D62" s="423"/>
      <c r="E62" s="424"/>
      <c r="F62" s="425"/>
      <c r="G62" s="426"/>
    </row>
    <row r="63" spans="1:10" ht="31" customHeight="1">
      <c r="A63" s="420"/>
      <c r="B63" s="421" t="s">
        <v>227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228</v>
      </c>
      <c r="C64" s="422">
        <f>'Áreas a serem limpas'!B7</f>
        <v>0</v>
      </c>
      <c r="D64" s="423"/>
      <c r="E64" s="424"/>
      <c r="F64" s="425"/>
      <c r="G64" s="426"/>
    </row>
    <row r="65" spans="1:7" ht="31" customHeight="1">
      <c r="A65" s="420"/>
      <c r="B65" s="421" t="s">
        <v>229</v>
      </c>
      <c r="C65" s="422">
        <f>'Áreas a serem limpas'!B8</f>
        <v>0</v>
      </c>
      <c r="D65" s="423"/>
      <c r="E65" s="424"/>
      <c r="F65" s="425"/>
      <c r="G65" s="426"/>
    </row>
    <row r="66" spans="1:7" ht="31" customHeight="1">
      <c r="A66" s="420"/>
      <c r="B66" s="421" t="s">
        <v>230</v>
      </c>
      <c r="C66" s="422">
        <f>'Áreas a serem limpas'!B9</f>
        <v>0</v>
      </c>
      <c r="D66" s="423"/>
      <c r="E66" s="424"/>
      <c r="F66" s="425"/>
      <c r="G66" s="426"/>
    </row>
    <row r="67" spans="1:7" ht="31" customHeight="1">
      <c r="A67" s="420"/>
      <c r="B67" s="421" t="s">
        <v>231</v>
      </c>
      <c r="C67" s="422">
        <f>'Áreas a serem limpas'!B10</f>
        <v>7.5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440</v>
      </c>
      <c r="B69" s="421" t="s">
        <v>234</v>
      </c>
      <c r="C69" s="422">
        <f>'Áreas a serem limpas'!B13</f>
        <v>101</v>
      </c>
      <c r="D69" s="423"/>
      <c r="E69" s="424"/>
      <c r="F69" s="425"/>
      <c r="G69" s="426"/>
    </row>
    <row r="70" spans="1:7" ht="31" customHeight="1">
      <c r="A70" s="428"/>
      <c r="B70" s="421" t="s">
        <v>235</v>
      </c>
      <c r="C70" s="422">
        <f>'Áreas a serem limpas'!B14</f>
        <v>33</v>
      </c>
      <c r="D70" s="423"/>
      <c r="E70" s="424"/>
      <c r="F70" s="425"/>
      <c r="G70" s="426"/>
    </row>
    <row r="71" spans="1:7" ht="31" customHeight="1">
      <c r="A71" s="428"/>
      <c r="B71" s="421" t="s">
        <v>236</v>
      </c>
      <c r="C71" s="422">
        <f>'Áreas a serem limpas'!B15</f>
        <v>0</v>
      </c>
      <c r="D71" s="423"/>
      <c r="E71" s="424"/>
      <c r="F71" s="425"/>
      <c r="G71" s="426"/>
    </row>
    <row r="72" spans="1:7" ht="31" customHeight="1">
      <c r="A72" s="428"/>
      <c r="B72" s="421" t="s">
        <v>237</v>
      </c>
      <c r="C72" s="422">
        <f>'Áreas a serem limpas'!B16</f>
        <v>0</v>
      </c>
      <c r="D72" s="423"/>
      <c r="E72" s="424"/>
      <c r="F72" s="425"/>
      <c r="G72" s="426"/>
    </row>
    <row r="73" spans="1:7" ht="31" customHeight="1">
      <c r="A73" s="428"/>
      <c r="B73" s="429" t="s">
        <v>238</v>
      </c>
      <c r="C73" s="422">
        <f>'Áreas a serem limpas'!B17</f>
        <v>0</v>
      </c>
      <c r="D73" s="423"/>
      <c r="E73" s="424"/>
      <c r="F73" s="425"/>
      <c r="G73" s="426"/>
    </row>
    <row r="74" spans="1:7" ht="31" customHeight="1">
      <c r="A74" s="428"/>
      <c r="B74" s="421" t="s">
        <v>239</v>
      </c>
      <c r="C74" s="422">
        <f>'Áreas a serem limpas'!B18</f>
        <v>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441</v>
      </c>
      <c r="B76" s="438" t="s">
        <v>249</v>
      </c>
      <c r="C76" s="422">
        <f>'Áreas a serem limpas'!B29</f>
        <v>25</v>
      </c>
      <c r="D76" s="423" t="s">
        <v>442</v>
      </c>
      <c r="E76" s="424">
        <f>'Limpador de vidros sem risco- D'!H140</f>
        <v>6633.32</v>
      </c>
      <c r="F76" s="425">
        <f>IF('CALCULO SIMPLES'!B37 = "Posto",'Áreas a serem limpas'!H29+'Áreas a serem limpas'!H30,0)</f>
        <v>1.2045370897045538E-2</v>
      </c>
      <c r="G76" s="426">
        <f>ROUND(E76*F76,2)</f>
        <v>79.900000000000006</v>
      </c>
    </row>
    <row r="77" spans="1:7" ht="31" customHeight="1">
      <c r="A77" s="439"/>
      <c r="B77" s="438" t="s">
        <v>250</v>
      </c>
      <c r="C77" s="422">
        <f>'Áreas a serem limpas'!B30</f>
        <v>29</v>
      </c>
      <c r="D77" s="423"/>
      <c r="E77" s="424"/>
      <c r="F77" s="425"/>
      <c r="G77" s="426"/>
    </row>
    <row r="78" spans="1:7" ht="31" customHeight="1">
      <c r="A78" s="439"/>
      <c r="B78" s="440" t="s">
        <v>248</v>
      </c>
      <c r="C78" s="422">
        <f>'Áreas a serem limpas'!B28</f>
        <v>0</v>
      </c>
      <c r="D78" s="423" t="s">
        <v>443</v>
      </c>
      <c r="E78" s="441">
        <f>'Limpador de vidros com risco- D'!H140</f>
        <v>8120.87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251</v>
      </c>
      <c r="C79" s="422">
        <f>'Áreas a serem limpas'!B31</f>
        <v>0</v>
      </c>
      <c r="D79" s="423"/>
      <c r="E79" s="444"/>
      <c r="F79" s="445"/>
      <c r="G79" s="426"/>
    </row>
    <row r="80" spans="1:7" ht="31" customHeight="1">
      <c r="A80" s="446" t="s">
        <v>444</v>
      </c>
      <c r="B80" s="447"/>
      <c r="C80" s="448">
        <f>SUM(C61:C79)</f>
        <v>318.5</v>
      </c>
      <c r="D80" s="449"/>
      <c r="E80" s="450"/>
      <c r="F80" s="451">
        <f>F61+F76+F78</f>
        <v>1.0120453708970456</v>
      </c>
      <c r="G80" s="452">
        <f>G61+G76+G78</f>
        <v>4292.79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445</v>
      </c>
      <c r="B83" s="454"/>
      <c r="C83" s="454"/>
      <c r="D83" s="454"/>
      <c r="E83" s="454"/>
      <c r="F83" s="454"/>
      <c r="G83" s="455">
        <f>G56+G80</f>
        <v>4292.79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446</v>
      </c>
      <c r="B86" s="454"/>
      <c r="C86" s="454"/>
      <c r="D86" s="454"/>
      <c r="E86" s="454"/>
      <c r="F86" s="454"/>
      <c r="G86" s="455">
        <f>Licitante!H173</f>
        <v>533.58791666666673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447</v>
      </c>
      <c r="B89" s="457"/>
      <c r="C89" s="457"/>
      <c r="D89" s="457"/>
      <c r="E89" s="457"/>
      <c r="F89" s="457"/>
      <c r="G89" s="455">
        <f>Licitante!H192/12</f>
        <v>149.89666666666668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448</v>
      </c>
      <c r="B92" s="454"/>
      <c r="C92" s="454"/>
      <c r="D92" s="454"/>
      <c r="E92" s="454"/>
      <c r="F92" s="454"/>
      <c r="G92" s="455">
        <f>G83+G86+G89</f>
        <v>4976.2745833333329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449</v>
      </c>
      <c r="B95" s="454"/>
      <c r="C95" s="454"/>
      <c r="D95" s="454"/>
      <c r="E95" s="454"/>
      <c r="F95" s="454"/>
      <c r="G95" s="459">
        <f>G92*Licitante!D2</f>
        <v>119430.59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FA640-E28B-4AC3-8839-9411DA388961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450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451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452</v>
      </c>
      <c r="B3" s="471" t="s">
        <v>453</v>
      </c>
      <c r="C3" s="471"/>
      <c r="D3" s="470" t="s">
        <v>454</v>
      </c>
      <c r="E3" s="472" t="s">
        <v>455</v>
      </c>
      <c r="F3" s="463"/>
      <c r="G3" s="472" t="s">
        <v>456</v>
      </c>
      <c r="H3" s="470" t="s">
        <v>457</v>
      </c>
    </row>
    <row r="4" spans="1:8">
      <c r="A4" s="473"/>
      <c r="B4" s="474" t="s">
        <v>458</v>
      </c>
      <c r="C4" s="474" t="s">
        <v>459</v>
      </c>
      <c r="D4" s="473"/>
      <c r="E4" s="475"/>
      <c r="F4" s="463"/>
      <c r="G4" s="475"/>
      <c r="H4" s="473"/>
    </row>
    <row r="5" spans="1:8" ht="16" customHeight="1">
      <c r="A5" s="476" t="s">
        <v>460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461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462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463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464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464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465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466</v>
      </c>
      <c r="B13" s="460" t="s">
        <v>467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468</v>
      </c>
      <c r="C14" s="474" t="s">
        <v>469</v>
      </c>
      <c r="D14" s="474" t="s">
        <v>470</v>
      </c>
      <c r="E14" s="474" t="s">
        <v>471</v>
      </c>
      <c r="F14" s="485" t="s">
        <v>472</v>
      </c>
      <c r="G14" s="463"/>
      <c r="H14" s="463"/>
    </row>
    <row r="15" spans="1:8" ht="16" customHeight="1">
      <c r="A15" s="476" t="s">
        <v>460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461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462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463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464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465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473</v>
      </c>
      <c r="B21" s="466"/>
      <c r="C21" s="466"/>
      <c r="D21" s="466"/>
      <c r="E21" s="466"/>
      <c r="F21" s="467"/>
    </row>
    <row r="22" spans="1:6" ht="25.35">
      <c r="A22" s="474" t="s">
        <v>452</v>
      </c>
      <c r="B22" s="474" t="s">
        <v>474</v>
      </c>
      <c r="C22" s="474" t="s">
        <v>475</v>
      </c>
      <c r="D22" s="474" t="s">
        <v>476</v>
      </c>
      <c r="E22" s="474" t="s">
        <v>477</v>
      </c>
      <c r="F22" s="485" t="s">
        <v>104</v>
      </c>
    </row>
    <row r="23" spans="1:6" ht="25.35">
      <c r="A23" s="476" t="s">
        <v>478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479</v>
      </c>
      <c r="B26" s="488"/>
      <c r="C26" s="488"/>
      <c r="D26" s="489"/>
      <c r="E26" s="486"/>
      <c r="F26" s="486"/>
    </row>
    <row r="27" spans="1:6">
      <c r="A27" s="490" t="s">
        <v>452</v>
      </c>
      <c r="B27" s="490" t="s">
        <v>101</v>
      </c>
      <c r="C27" s="490" t="s">
        <v>102</v>
      </c>
      <c r="D27" s="490" t="s">
        <v>104</v>
      </c>
      <c r="E27" s="490" t="s">
        <v>480</v>
      </c>
      <c r="F27" s="486"/>
    </row>
    <row r="28" spans="1:6" ht="16" customHeight="1">
      <c r="A28" s="476" t="s">
        <v>460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0.05</v>
      </c>
      <c r="F28" s="464"/>
    </row>
    <row r="29" spans="1:6" ht="16" customHeight="1">
      <c r="A29" s="476" t="s">
        <v>461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462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463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464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481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465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482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483</v>
      </c>
      <c r="B37" s="494" t="s">
        <v>484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2224B7E7-ABBA-4341-8158-31F9948456B0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E131F7A5-C6B5-4C15-94FE-CCE20E3A7E07}"/>
</file>

<file path=customXml/itemProps2.xml><?xml version="1.0" encoding="utf-8"?>
<ds:datastoreItem xmlns:ds="http://schemas.openxmlformats.org/officeDocument/2006/customXml" ds:itemID="{22648C87-E723-46F1-9C48-7AA6341B9CE8}"/>
</file>

<file path=customXml/itemProps3.xml><?xml version="1.0" encoding="utf-8"?>
<ds:datastoreItem xmlns:ds="http://schemas.openxmlformats.org/officeDocument/2006/customXml" ds:itemID="{0D1B9B32-FC90-42CE-B3DD-F66F650FF6F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2025-11-24T11:51:23Z</dcterms:created>
  <dcterms:modified xsi:type="dcterms:W3CDTF">2025-11-24T11:51:23Z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